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khudobin\Desktop\"/>
    </mc:Choice>
  </mc:AlternateContent>
  <xr:revisionPtr revIDLastSave="0" documentId="8_{FF3F3BA7-DF21-470A-AB10-3D4BAD1BCB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Расчет (2)" sheetId="6" r:id="rId1"/>
    <sheet name="Участник_2_А_замеч-я" sheetId="2" state="hidden" r:id="rId2"/>
    <sheet name="Участник_2_А" sheetId="1" state="hidden" r:id="rId3"/>
  </sheets>
  <externalReferences>
    <externalReference r:id="rId4"/>
    <externalReference r:id="rId5"/>
    <externalReference r:id="rId6"/>
    <externalReference r:id="rId7"/>
  </externalReferences>
  <definedNames>
    <definedName name="Deposits">'[1]Cost Structure'!$D$5:$D$11</definedName>
    <definedName name="Facility">'[1]Cost Structure'!$D$14:$D$18</definedName>
    <definedName name="Phase_of_work">'[1]Cost Structure'!$L$139:$L$145</definedName>
    <definedName name="_xlnm.Print_Area" localSheetId="0">'Расчет (2)'!$A$1:$E$146</definedName>
    <definedName name="_xlnm.Print_Titles" localSheetId="0">'Расчет (2)'!$1:$4</definedName>
    <definedName name="Works">'[1]Cost Structure'!$D$21:$D$27</definedName>
    <definedName name="ВОР_БСИ" localSheetId="0">'[2]1. ВОР'!#REF!</definedName>
    <definedName name="ВОР_БСИ">'[2]1. ВОР'!#REF!</definedName>
    <definedName name="наим_лота">'[3]Список лотов'!$C$3:$C$20</definedName>
    <definedName name="Наименование_комплексов">[4]!наим_комп[Наименование комплексов]</definedName>
    <definedName name="Примечание" localSheetId="0">'[2]1. ВОР'!#REF!</definedName>
    <definedName name="Примечание">'[2]1. ВОР'!#REF!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6" l="1"/>
  <c r="E16" i="6"/>
  <c r="E17" i="6"/>
  <c r="E18" i="6"/>
  <c r="E20" i="6"/>
  <c r="E23" i="6"/>
  <c r="E43" i="6"/>
  <c r="E66" i="6"/>
  <c r="E67" i="6"/>
  <c r="E68" i="6"/>
  <c r="E69" i="6"/>
  <c r="E73" i="6"/>
  <c r="E75" i="6"/>
  <c r="E79" i="6"/>
  <c r="E80" i="6" s="1"/>
  <c r="E83" i="6"/>
  <c r="E96" i="6"/>
  <c r="E97" i="6"/>
  <c r="E98" i="6"/>
  <c r="E99" i="6"/>
  <c r="E100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6" i="6"/>
  <c r="G141" i="6" l="1"/>
  <c r="H141" i="6" s="1"/>
  <c r="G140" i="6"/>
  <c r="H140" i="6" s="1"/>
  <c r="G139" i="6"/>
  <c r="H139" i="6" s="1"/>
  <c r="G138" i="6"/>
  <c r="H138" i="6" s="1"/>
  <c r="G137" i="6"/>
  <c r="H137" i="6" s="1"/>
  <c r="G136" i="6"/>
  <c r="H136" i="6" s="1"/>
  <c r="G135" i="6"/>
  <c r="H135" i="6" s="1"/>
  <c r="G134" i="6"/>
  <c r="H134" i="6" s="1"/>
  <c r="G133" i="6"/>
  <c r="H133" i="6" s="1"/>
  <c r="G132" i="6"/>
  <c r="H132" i="6" s="1"/>
  <c r="G130" i="6"/>
  <c r="H130" i="6" s="1"/>
  <c r="G128" i="6"/>
  <c r="H128" i="6" s="1"/>
  <c r="G127" i="6"/>
  <c r="H127" i="6" s="1"/>
  <c r="G126" i="6"/>
  <c r="H126" i="6" s="1"/>
  <c r="G125" i="6"/>
  <c r="H125" i="6" s="1"/>
  <c r="G124" i="6"/>
  <c r="H124" i="6" s="1"/>
  <c r="G123" i="6"/>
  <c r="H123" i="6" s="1"/>
  <c r="G122" i="6"/>
  <c r="H122" i="6" s="1"/>
  <c r="G121" i="6"/>
  <c r="H121" i="6" s="1"/>
  <c r="G120" i="6"/>
  <c r="H120" i="6" s="1"/>
  <c r="G119" i="6"/>
  <c r="H119" i="6" s="1"/>
  <c r="G118" i="6"/>
  <c r="H118" i="6" s="1"/>
  <c r="G117" i="6"/>
  <c r="H117" i="6" s="1"/>
  <c r="G116" i="6"/>
  <c r="H116" i="6" s="1"/>
  <c r="G115" i="6"/>
  <c r="H115" i="6" s="1"/>
  <c r="G114" i="6"/>
  <c r="H114" i="6" s="1"/>
  <c r="G113" i="6"/>
  <c r="H113" i="6" s="1"/>
  <c r="G112" i="6"/>
  <c r="H112" i="6" s="1"/>
  <c r="G111" i="6"/>
  <c r="H111" i="6" s="1"/>
  <c r="G110" i="6"/>
  <c r="H110" i="6" s="1"/>
  <c r="G109" i="6"/>
  <c r="H109" i="6" s="1"/>
  <c r="G108" i="6"/>
  <c r="H108" i="6" s="1"/>
  <c r="G107" i="6"/>
  <c r="H107" i="6" s="1"/>
  <c r="G106" i="6"/>
  <c r="H106" i="6" s="1"/>
  <c r="G105" i="6"/>
  <c r="H105" i="6" s="1"/>
  <c r="G104" i="6"/>
  <c r="H104" i="6" s="1"/>
  <c r="G103" i="6"/>
  <c r="H103" i="6" s="1"/>
  <c r="G101" i="6"/>
  <c r="H101" i="6" s="1"/>
  <c r="G100" i="6"/>
  <c r="H100" i="6" s="1"/>
  <c r="G99" i="6"/>
  <c r="H99" i="6" s="1"/>
  <c r="G98" i="6"/>
  <c r="H98" i="6" s="1"/>
  <c r="G97" i="6"/>
  <c r="H97" i="6" s="1"/>
  <c r="G96" i="6"/>
  <c r="H96" i="6" s="1"/>
  <c r="G94" i="6"/>
  <c r="H94" i="6" s="1"/>
  <c r="G93" i="6"/>
  <c r="H93" i="6" s="1"/>
  <c r="G92" i="6"/>
  <c r="H92" i="6" s="1"/>
  <c r="G91" i="6"/>
  <c r="H91" i="6" s="1"/>
  <c r="G90" i="6"/>
  <c r="H90" i="6" s="1"/>
  <c r="G89" i="6"/>
  <c r="H89" i="6" s="1"/>
  <c r="G88" i="6"/>
  <c r="H88" i="6" s="1"/>
  <c r="G87" i="6"/>
  <c r="H87" i="6" s="1"/>
  <c r="G86" i="6"/>
  <c r="H86" i="6" s="1"/>
  <c r="G85" i="6"/>
  <c r="H85" i="6" s="1"/>
  <c r="G84" i="6"/>
  <c r="H84" i="6" s="1"/>
  <c r="G83" i="6"/>
  <c r="H83" i="6" s="1"/>
  <c r="G82" i="6"/>
  <c r="H82" i="6" s="1"/>
  <c r="G81" i="6"/>
  <c r="H81" i="6" s="1"/>
  <c r="G78" i="6"/>
  <c r="H78" i="6" s="1"/>
  <c r="G77" i="6"/>
  <c r="H77" i="6" s="1"/>
  <c r="G76" i="6"/>
  <c r="H76" i="6" s="1"/>
  <c r="G74" i="6"/>
  <c r="H74" i="6" s="1"/>
  <c r="G73" i="6"/>
  <c r="H73" i="6" s="1"/>
  <c r="G72" i="6"/>
  <c r="H72" i="6" s="1"/>
  <c r="G71" i="6"/>
  <c r="H71" i="6" s="1"/>
  <c r="G70" i="6"/>
  <c r="H70" i="6" s="1"/>
  <c r="G69" i="6"/>
  <c r="H69" i="6" s="1"/>
  <c r="G68" i="6"/>
  <c r="H68" i="6" s="1"/>
  <c r="G67" i="6"/>
  <c r="H67" i="6" s="1"/>
  <c r="G66" i="6"/>
  <c r="G65" i="6"/>
  <c r="H65" i="6" s="1"/>
  <c r="G55" i="6"/>
  <c r="H55" i="6" s="1"/>
  <c r="G53" i="6"/>
  <c r="H53" i="6" s="1"/>
  <c r="G52" i="6"/>
  <c r="H52" i="6" s="1"/>
  <c r="G51" i="6"/>
  <c r="H51" i="6" s="1"/>
  <c r="G50" i="6"/>
  <c r="H50" i="6" s="1"/>
  <c r="G49" i="6"/>
  <c r="H49" i="6" s="1"/>
  <c r="G48" i="6"/>
  <c r="H48" i="6" s="1"/>
  <c r="G47" i="6"/>
  <c r="H47" i="6" s="1"/>
  <c r="G46" i="6"/>
  <c r="H46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3" i="6"/>
  <c r="H33" i="6" s="1"/>
  <c r="G32" i="6"/>
  <c r="H32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22" i="6"/>
  <c r="H22" i="6" s="1"/>
  <c r="G21" i="6"/>
  <c r="H21" i="6" s="1"/>
  <c r="G19" i="6"/>
  <c r="H19" i="6" s="1"/>
  <c r="G17" i="6"/>
  <c r="H17" i="6" s="1"/>
  <c r="G75" i="6"/>
  <c r="H75" i="6" s="1"/>
  <c r="G15" i="6"/>
  <c r="H15" i="6" s="1"/>
  <c r="G14" i="6"/>
  <c r="H14" i="6" s="1"/>
  <c r="G13" i="6"/>
  <c r="H13" i="6" s="1"/>
  <c r="G11" i="6"/>
  <c r="H11" i="6" s="1"/>
  <c r="G10" i="6"/>
  <c r="H10" i="6" s="1"/>
  <c r="G9" i="6"/>
  <c r="H9" i="6" s="1"/>
  <c r="G8" i="6"/>
  <c r="H8" i="6" s="1"/>
  <c r="G7" i="6"/>
  <c r="H7" i="6" s="1"/>
  <c r="G16" i="6" l="1"/>
  <c r="H16" i="6" s="1"/>
  <c r="G18" i="6"/>
  <c r="H18" i="6" s="1"/>
  <c r="H66" i="6"/>
  <c r="G23" i="6" l="1"/>
  <c r="H23" i="6" s="1"/>
  <c r="G20" i="6"/>
  <c r="H20" i="6" l="1"/>
  <c r="G79" i="6"/>
  <c r="G80" i="6"/>
  <c r="H80" i="6" s="1"/>
  <c r="H79" i="6" l="1"/>
  <c r="G143" i="6"/>
  <c r="H143" i="6" l="1"/>
  <c r="G144" i="6"/>
  <c r="H144" i="6" s="1"/>
  <c r="G145" i="6" l="1"/>
  <c r="H145" i="6" l="1"/>
  <c r="F248" i="2" l="1"/>
  <c r="D247" i="2"/>
  <c r="F247" i="2" s="1"/>
  <c r="F243" i="2"/>
  <c r="F242" i="2"/>
  <c r="F241" i="2"/>
  <c r="F238" i="2"/>
  <c r="F237" i="2"/>
  <c r="F236" i="2"/>
  <c r="F235" i="2"/>
  <c r="F234" i="2"/>
  <c r="F233" i="2"/>
  <c r="F232" i="2"/>
  <c r="F231" i="2"/>
  <c r="E230" i="2"/>
  <c r="F230" i="2" s="1"/>
  <c r="E228" i="2"/>
  <c r="F228" i="2" s="1"/>
  <c r="E227" i="2"/>
  <c r="F227" i="2" s="1"/>
  <c r="F226" i="2"/>
  <c r="F225" i="2"/>
  <c r="F224" i="2"/>
  <c r="E223" i="2"/>
  <c r="F223" i="2" s="1"/>
  <c r="F222" i="2"/>
  <c r="F221" i="2"/>
  <c r="F219" i="2"/>
  <c r="F218" i="2"/>
  <c r="D217" i="2"/>
  <c r="F217" i="2" s="1"/>
  <c r="F215" i="2"/>
  <c r="D215" i="2"/>
  <c r="D213" i="2"/>
  <c r="F213" i="2" s="1"/>
  <c r="D212" i="2"/>
  <c r="F212" i="2" s="1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0" i="2"/>
  <c r="F189" i="2"/>
  <c r="F188" i="2"/>
  <c r="E187" i="2"/>
  <c r="F187" i="2" s="1"/>
  <c r="E186" i="2"/>
  <c r="F186" i="2" s="1"/>
  <c r="F185" i="2"/>
  <c r="F184" i="2"/>
  <c r="F183" i="2"/>
  <c r="F182" i="2"/>
  <c r="F181" i="2"/>
  <c r="F180" i="2"/>
  <c r="D179" i="2"/>
  <c r="F178" i="2"/>
  <c r="F177" i="2"/>
  <c r="E176" i="2"/>
  <c r="E179" i="2" s="1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E161" i="2"/>
  <c r="F161" i="2" s="1"/>
  <c r="F160" i="2"/>
  <c r="F159" i="2"/>
  <c r="E158" i="2"/>
  <c r="F158" i="2" s="1"/>
  <c r="E157" i="2"/>
  <c r="F157" i="2" s="1"/>
  <c r="F156" i="2"/>
  <c r="F155" i="2"/>
  <c r="F154" i="2"/>
  <c r="E153" i="2"/>
  <c r="F153" i="2" s="1"/>
  <c r="F152" i="2"/>
  <c r="E151" i="2"/>
  <c r="F151" i="2" s="1"/>
  <c r="E150" i="2"/>
  <c r="F150" i="2" s="1"/>
  <c r="E149" i="2"/>
  <c r="F149" i="2" s="1"/>
  <c r="F148" i="2"/>
  <c r="F147" i="2"/>
  <c r="F146" i="2"/>
  <c r="F145" i="2"/>
  <c r="F144" i="2"/>
  <c r="F143" i="2"/>
  <c r="F142" i="2"/>
  <c r="E141" i="2"/>
  <c r="F141" i="2" s="1"/>
  <c r="F140" i="2"/>
  <c r="F139" i="2"/>
  <c r="D138" i="2"/>
  <c r="F138" i="2" s="1"/>
  <c r="F137" i="2"/>
  <c r="E136" i="2"/>
  <c r="D136" i="2"/>
  <c r="D135" i="2"/>
  <c r="F135" i="2" s="1"/>
  <c r="D134" i="2"/>
  <c r="F134" i="2" s="1"/>
  <c r="D133" i="2"/>
  <c r="F133" i="2" s="1"/>
  <c r="D132" i="2"/>
  <c r="F132" i="2" s="1"/>
  <c r="F131" i="2"/>
  <c r="F130" i="2"/>
  <c r="F129" i="2"/>
  <c r="F128" i="2"/>
  <c r="F127" i="2"/>
  <c r="F126" i="2"/>
  <c r="F125" i="2"/>
  <c r="F122" i="2"/>
  <c r="F119" i="2"/>
  <c r="F118" i="2"/>
  <c r="F117" i="2"/>
  <c r="F116" i="2"/>
  <c r="F115" i="2"/>
  <c r="F114" i="2"/>
  <c r="F113" i="2"/>
  <c r="F112" i="2"/>
  <c r="F110" i="2"/>
  <c r="F109" i="2"/>
  <c r="F108" i="2"/>
  <c r="E107" i="2"/>
  <c r="F107" i="2" s="1"/>
  <c r="F106" i="2"/>
  <c r="E105" i="2"/>
  <c r="F105" i="2" s="1"/>
  <c r="F104" i="2"/>
  <c r="F103" i="2"/>
  <c r="F101" i="2"/>
  <c r="F100" i="2"/>
  <c r="D99" i="2"/>
  <c r="F99" i="2" s="1"/>
  <c r="F98" i="2"/>
  <c r="F97" i="2"/>
  <c r="D96" i="2"/>
  <c r="D211" i="2" s="1"/>
  <c r="F95" i="2"/>
  <c r="F94" i="2"/>
  <c r="F93" i="2"/>
  <c r="F92" i="2"/>
  <c r="F91" i="2"/>
  <c r="F90" i="2"/>
  <c r="F89" i="2"/>
  <c r="F87" i="2"/>
  <c r="E86" i="2"/>
  <c r="F86" i="2" s="1"/>
  <c r="F85" i="2"/>
  <c r="E84" i="2"/>
  <c r="F84" i="2" s="1"/>
  <c r="F83" i="2"/>
  <c r="E82" i="2"/>
  <c r="F82" i="2" s="1"/>
  <c r="F81" i="2"/>
  <c r="F79" i="2"/>
  <c r="F77" i="2"/>
  <c r="F76" i="2"/>
  <c r="F74" i="2"/>
  <c r="F73" i="2"/>
  <c r="E72" i="2"/>
  <c r="E75" i="2" s="1"/>
  <c r="F75" i="2" s="1"/>
  <c r="E71" i="2"/>
  <c r="F71" i="2" s="1"/>
  <c r="E70" i="2"/>
  <c r="F70" i="2" s="1"/>
  <c r="E69" i="2"/>
  <c r="F69" i="2" s="1"/>
  <c r="F68" i="2"/>
  <c r="F67" i="2"/>
  <c r="F66" i="2"/>
  <c r="F65" i="2"/>
  <c r="F64" i="2"/>
  <c r="F63" i="2"/>
  <c r="E62" i="2"/>
  <c r="F62" i="2" s="1"/>
  <c r="F61" i="2"/>
  <c r="F60" i="2"/>
  <c r="E57" i="2"/>
  <c r="E58" i="2" s="1"/>
  <c r="E56" i="2"/>
  <c r="F56" i="2" s="1"/>
  <c r="F55" i="2"/>
  <c r="F54" i="2"/>
  <c r="F53" i="2"/>
  <c r="E52" i="2"/>
  <c r="F52" i="2" s="1"/>
  <c r="F51" i="2"/>
  <c r="F50" i="2"/>
  <c r="F49" i="2"/>
  <c r="F48" i="2"/>
  <c r="F47" i="2"/>
  <c r="D46" i="2"/>
  <c r="F46" i="2" s="1"/>
  <c r="F45" i="2"/>
  <c r="F44" i="2"/>
  <c r="E43" i="2"/>
  <c r="F43" i="2" s="1"/>
  <c r="F42" i="2"/>
  <c r="F41" i="2"/>
  <c r="F40" i="2"/>
  <c r="F39" i="2"/>
  <c r="F38" i="2"/>
  <c r="E37" i="2"/>
  <c r="F37" i="2" s="1"/>
  <c r="F36" i="2"/>
  <c r="E34" i="2"/>
  <c r="F34" i="2" s="1"/>
  <c r="E33" i="2"/>
  <c r="F33" i="2" s="1"/>
  <c r="E32" i="2"/>
  <c r="F32" i="2" s="1"/>
  <c r="F31" i="2"/>
  <c r="F30" i="2"/>
  <c r="E29" i="2"/>
  <c r="F29" i="2" s="1"/>
  <c r="F28" i="2"/>
  <c r="E27" i="2"/>
  <c r="F27" i="2" s="1"/>
  <c r="E26" i="2"/>
  <c r="F26" i="2" s="1"/>
  <c r="F25" i="2"/>
  <c r="F24" i="2"/>
  <c r="E23" i="2"/>
  <c r="F23" i="2" s="1"/>
  <c r="F22" i="2"/>
  <c r="F21" i="2"/>
  <c r="F242" i="1"/>
  <c r="F243" i="1"/>
  <c r="D99" i="1"/>
  <c r="F99" i="1" s="1"/>
  <c r="D96" i="1"/>
  <c r="F96" i="1" s="1"/>
  <c r="D215" i="1"/>
  <c r="F215" i="1" s="1"/>
  <c r="D213" i="1"/>
  <c r="F213" i="1" s="1"/>
  <c r="D212" i="1"/>
  <c r="F212" i="1" s="1"/>
  <c r="F210" i="1"/>
  <c r="F209" i="1"/>
  <c r="F208" i="1"/>
  <c r="F207" i="1"/>
  <c r="F101" i="1"/>
  <c r="F100" i="1"/>
  <c r="F98" i="1"/>
  <c r="F97" i="1"/>
  <c r="F95" i="1"/>
  <c r="F94" i="1"/>
  <c r="F93" i="1"/>
  <c r="F244" i="2" l="1"/>
  <c r="F229" i="2"/>
  <c r="F220" i="2"/>
  <c r="F136" i="2"/>
  <c r="E59" i="2"/>
  <c r="F59" i="2" s="1"/>
  <c r="F179" i="2"/>
  <c r="F72" i="2"/>
  <c r="F102" i="2"/>
  <c r="E88" i="2"/>
  <c r="F88" i="2" s="1"/>
  <c r="D214" i="2"/>
  <c r="F214" i="2" s="1"/>
  <c r="F176" i="2"/>
  <c r="F124" i="2" s="1"/>
  <c r="F111" i="2"/>
  <c r="C11" i="2"/>
  <c r="F211" i="2"/>
  <c r="D216" i="2"/>
  <c r="F216" i="2" s="1"/>
  <c r="F20" i="2"/>
  <c r="E78" i="2"/>
  <c r="F78" i="2" s="1"/>
  <c r="F58" i="2"/>
  <c r="F57" i="2"/>
  <c r="F96" i="2"/>
  <c r="D211" i="1"/>
  <c r="F211" i="1" s="1"/>
  <c r="D214" i="1"/>
  <c r="F214" i="1" s="1"/>
  <c r="F80" i="2" l="1"/>
  <c r="F35" i="2"/>
  <c r="F120" i="2" s="1"/>
  <c r="F191" i="2"/>
  <c r="F239" i="2"/>
  <c r="C10" i="2" s="1"/>
  <c r="D216" i="1"/>
  <c r="F216" i="1" s="1"/>
  <c r="F245" i="2" l="1"/>
  <c r="F249" i="2"/>
  <c r="C9" i="2"/>
  <c r="F253" i="2"/>
  <c r="E228" i="1"/>
  <c r="E227" i="1"/>
  <c r="F250" i="2" l="1"/>
  <c r="F251" i="2" s="1"/>
  <c r="D135" i="1"/>
  <c r="F135" i="1" s="1"/>
  <c r="D134" i="1"/>
  <c r="D133" i="1"/>
  <c r="D132" i="1"/>
  <c r="F48" i="1"/>
  <c r="C12" i="2" l="1"/>
  <c r="F254" i="2"/>
  <c r="F255" i="2"/>
  <c r="E84" i="1"/>
  <c r="E82" i="1"/>
  <c r="C13" i="2" l="1"/>
  <c r="F257" i="2"/>
  <c r="D138" i="1"/>
  <c r="D136" i="1"/>
  <c r="F36" i="1"/>
  <c r="E37" i="1"/>
  <c r="F37" i="1" s="1"/>
  <c r="F258" i="2" l="1"/>
  <c r="C14" i="2" s="1"/>
  <c r="C15" i="2" s="1"/>
  <c r="F122" i="1"/>
  <c r="F233" i="1"/>
  <c r="E141" i="1"/>
  <c r="E187" i="1"/>
  <c r="E186" i="1"/>
  <c r="F259" i="2" l="1"/>
  <c r="E136" i="1"/>
  <c r="E151" i="1"/>
  <c r="E150" i="1"/>
  <c r="E158" i="1"/>
  <c r="E157" i="1"/>
  <c r="E153" i="1"/>
  <c r="E149" i="1"/>
  <c r="F231" i="1" l="1"/>
  <c r="F232" i="1"/>
  <c r="F234" i="1"/>
  <c r="F235" i="1"/>
  <c r="F236" i="1"/>
  <c r="F237" i="1"/>
  <c r="F238" i="1"/>
  <c r="E230" i="1"/>
  <c r="E223" i="1"/>
  <c r="F228" i="1"/>
  <c r="F227" i="1"/>
  <c r="F226" i="1"/>
  <c r="F225" i="1"/>
  <c r="F224" i="1"/>
  <c r="F222" i="1"/>
  <c r="F221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18" i="1"/>
  <c r="F219" i="1"/>
  <c r="F192" i="1"/>
  <c r="E176" i="1"/>
  <c r="F190" i="1"/>
  <c r="F177" i="1"/>
  <c r="F178" i="1"/>
  <c r="F180" i="1"/>
  <c r="F181" i="1"/>
  <c r="F182" i="1"/>
  <c r="F183" i="1"/>
  <c r="F184" i="1"/>
  <c r="F185" i="1"/>
  <c r="F186" i="1"/>
  <c r="F187" i="1"/>
  <c r="F188" i="1"/>
  <c r="F189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E161" i="1"/>
  <c r="F126" i="1"/>
  <c r="F127" i="1"/>
  <c r="F128" i="1"/>
  <c r="F129" i="1"/>
  <c r="F130" i="1"/>
  <c r="F131" i="1"/>
  <c r="F125" i="1"/>
  <c r="F117" i="1"/>
  <c r="F161" i="1" l="1"/>
  <c r="F223" i="1"/>
  <c r="F220" i="1" s="1"/>
  <c r="F230" i="1"/>
  <c r="F229" i="1" s="1"/>
  <c r="F176" i="1"/>
  <c r="E179" i="1"/>
  <c r="D217" i="1" l="1"/>
  <c r="F217" i="1" s="1"/>
  <c r="F191" i="1" s="1"/>
  <c r="D179" i="1"/>
  <c r="F179" i="1" s="1"/>
  <c r="F134" i="1"/>
  <c r="F133" i="1"/>
  <c r="F132" i="1"/>
  <c r="D46" i="1"/>
  <c r="F124" i="1" l="1"/>
  <c r="F239" i="1" s="1"/>
  <c r="C10" i="1" l="1"/>
  <c r="D247" i="1"/>
  <c r="F247" i="1" s="1"/>
  <c r="F248" i="1"/>
  <c r="F241" i="1"/>
  <c r="F119" i="1"/>
  <c r="F118" i="1"/>
  <c r="F116" i="1"/>
  <c r="F115" i="1"/>
  <c r="F114" i="1"/>
  <c r="F113" i="1"/>
  <c r="F112" i="1"/>
  <c r="F110" i="1"/>
  <c r="F109" i="1"/>
  <c r="F108" i="1"/>
  <c r="F106" i="1"/>
  <c r="F103" i="1"/>
  <c r="E107" i="1"/>
  <c r="F107" i="1" s="1"/>
  <c r="F89" i="1"/>
  <c r="E86" i="1"/>
  <c r="F84" i="1"/>
  <c r="F83" i="1"/>
  <c r="F82" i="1"/>
  <c r="F92" i="1"/>
  <c r="F91" i="1"/>
  <c r="F90" i="1"/>
  <c r="F87" i="1"/>
  <c r="F85" i="1"/>
  <c r="F81" i="1"/>
  <c r="E72" i="1"/>
  <c r="F72" i="1" s="1"/>
  <c r="E71" i="1"/>
  <c r="F71" i="1" s="1"/>
  <c r="E70" i="1"/>
  <c r="F70" i="1" s="1"/>
  <c r="E69" i="1"/>
  <c r="F69" i="1" s="1"/>
  <c r="E62" i="1"/>
  <c r="F62" i="1" s="1"/>
  <c r="E52" i="1"/>
  <c r="F52" i="1" s="1"/>
  <c r="E57" i="1"/>
  <c r="F57" i="1" s="1"/>
  <c r="E56" i="1"/>
  <c r="F56" i="1" s="1"/>
  <c r="E43" i="1"/>
  <c r="F43" i="1" s="1"/>
  <c r="F79" i="1"/>
  <c r="F73" i="1"/>
  <c r="F74" i="1"/>
  <c r="F76" i="1"/>
  <c r="F77" i="1"/>
  <c r="F65" i="1"/>
  <c r="F66" i="1"/>
  <c r="F67" i="1"/>
  <c r="F68" i="1"/>
  <c r="F53" i="1"/>
  <c r="F54" i="1"/>
  <c r="F55" i="1"/>
  <c r="F60" i="1"/>
  <c r="F61" i="1"/>
  <c r="F63" i="1"/>
  <c r="F64" i="1"/>
  <c r="F39" i="1"/>
  <c r="F40" i="1"/>
  <c r="F41" i="1"/>
  <c r="F42" i="1"/>
  <c r="F44" i="1"/>
  <c r="F45" i="1"/>
  <c r="F46" i="1"/>
  <c r="F47" i="1"/>
  <c r="F49" i="1"/>
  <c r="F50" i="1"/>
  <c r="F51" i="1"/>
  <c r="F38" i="1"/>
  <c r="E34" i="1"/>
  <c r="F34" i="1" s="1"/>
  <c r="E33" i="1"/>
  <c r="F33" i="1" s="1"/>
  <c r="E32" i="1"/>
  <c r="F32" i="1" s="1"/>
  <c r="E29" i="1"/>
  <c r="F29" i="1" s="1"/>
  <c r="E27" i="1"/>
  <c r="F27" i="1" s="1"/>
  <c r="E26" i="1"/>
  <c r="F26" i="1" s="1"/>
  <c r="F22" i="1"/>
  <c r="F24" i="1"/>
  <c r="F25" i="1"/>
  <c r="F28" i="1"/>
  <c r="F30" i="1"/>
  <c r="F31" i="1"/>
  <c r="F21" i="1"/>
  <c r="E23" i="1"/>
  <c r="F23" i="1" s="1"/>
  <c r="F244" i="1" l="1"/>
  <c r="E105" i="1"/>
  <c r="F86" i="1"/>
  <c r="F104" i="1"/>
  <c r="E59" i="1"/>
  <c r="F59" i="1" s="1"/>
  <c r="E75" i="1"/>
  <c r="F75" i="1" s="1"/>
  <c r="E58" i="1"/>
  <c r="F58" i="1" s="1"/>
  <c r="F111" i="1"/>
  <c r="E88" i="1"/>
  <c r="F20" i="1"/>
  <c r="F105" i="1" l="1"/>
  <c r="F102" i="1" s="1"/>
  <c r="C11" i="1"/>
  <c r="E78" i="1"/>
  <c r="F88" i="1"/>
  <c r="F80" i="1" s="1"/>
  <c r="F78" i="1" l="1"/>
  <c r="F35" i="1" s="1"/>
  <c r="F120" i="1" s="1"/>
  <c r="F253" i="1" l="1"/>
  <c r="F245" i="1"/>
  <c r="F249" i="1"/>
  <c r="F250" i="1" s="1"/>
  <c r="C9" i="1"/>
  <c r="F251" i="1" l="1"/>
  <c r="F254" i="1" s="1"/>
  <c r="C12" i="1"/>
  <c r="F255" i="1" l="1"/>
  <c r="C13" i="1" s="1"/>
  <c r="F257" i="1" l="1"/>
  <c r="F258" i="1" l="1"/>
  <c r="C14" i="1" s="1"/>
  <c r="C15" i="1" s="1"/>
  <c r="F259" i="1" l="1"/>
  <c r="G6" i="6"/>
  <c r="G56" i="6" s="1"/>
  <c r="H56" i="6" s="1"/>
  <c r="H6" i="6" l="1"/>
  <c r="G57" i="6"/>
  <c r="H57" i="6" s="1"/>
  <c r="G58" i="6" l="1"/>
  <c r="H58" i="6" s="1"/>
  <c r="G59" i="6"/>
  <c r="H59" i="6" s="1"/>
  <c r="G60" i="6"/>
  <c r="H60" i="6" s="1"/>
  <c r="G61" i="6" l="1"/>
  <c r="H61" i="6" l="1"/>
  <c r="H146" i="6" s="1"/>
  <c r="G146" i="6"/>
</calcChain>
</file>

<file path=xl/sharedStrings.xml><?xml version="1.0" encoding="utf-8"?>
<sst xmlns="http://schemas.openxmlformats.org/spreadsheetml/2006/main" count="2079" uniqueCount="931">
  <si>
    <t>Перепрофилирование существующего гаража бактерийно-вирусных препаратов на территории Жайылского районного центра профилактики заболеваний и государственного санитарно-эпидемиологического надзора.
Repurposing of the existing garage of bacterial and viral preparations on the territory of the Jayil District Center for Disease Prevention and State Sanitary and Epidemiological Surveillance</t>
  </si>
  <si>
    <t>Ведомость объемов работ/Bill of quantities</t>
  </si>
  <si>
    <t>№</t>
  </si>
  <si>
    <t>Наименование работ</t>
  </si>
  <si>
    <t>Works</t>
  </si>
  <si>
    <t>Unit rate (som)</t>
  </si>
  <si>
    <t>Демонтажные работы (все демонтажные работы производить с сохранение материалов, оборудования, приборов)smantling works (all dismantling works should be carried out with the preservation of materials, equipment, devices)</t>
  </si>
  <si>
    <t>1</t>
  </si>
  <si>
    <t>Демонтаж существующих ворот (передача материалов Заказчику)</t>
  </si>
  <si>
    <t>Dismantling of existing gates (transfer of materials to the Customer)</t>
  </si>
  <si>
    <t>each</t>
  </si>
  <si>
    <t>2</t>
  </si>
  <si>
    <t>Демонтаж труб металлических</t>
  </si>
  <si>
    <t>Dismantling of metal pipes</t>
  </si>
  <si>
    <t>meters</t>
  </si>
  <si>
    <t>3</t>
  </si>
  <si>
    <t>Удаление старой штукатурки</t>
  </si>
  <si>
    <t>Removal of old plaster</t>
  </si>
  <si>
    <t>m2</t>
  </si>
  <si>
    <t>4</t>
  </si>
  <si>
    <t>Демонтаж кровли (демонтаж деревянного каркаса и шиферного покрытия)</t>
  </si>
  <si>
    <t>Roof dismantling (dismantling of wooden frame and slate covering)</t>
  </si>
  <si>
    <t>5</t>
  </si>
  <si>
    <t>Демонтаж утеплителя</t>
  </si>
  <si>
    <t>Dismantling of insulation</t>
  </si>
  <si>
    <t>6</t>
  </si>
  <si>
    <t>Демонтаж коробов вентиляционных</t>
  </si>
  <si>
    <t>Dismantling of ventilation ducts</t>
  </si>
  <si>
    <t>7</t>
  </si>
  <si>
    <t>Общестроительные работы</t>
  </si>
  <si>
    <t>General construction works</t>
  </si>
  <si>
    <t>8</t>
  </si>
  <si>
    <t>Устройство  фундаментов под стены</t>
  </si>
  <si>
    <t>Installation of foundations for walls</t>
  </si>
  <si>
    <t>m3</t>
  </si>
  <si>
    <t>9</t>
  </si>
  <si>
    <t>Заделка проема стен кирпичем с армирование и анкерным креплением</t>
  </si>
  <si>
    <t>Sealing the wall opening with bricks with reinforcement and anchoring</t>
  </si>
  <si>
    <t>10</t>
  </si>
  <si>
    <t>Заделка ниш стен кирпичем с армирование и анкерным креплением</t>
  </si>
  <si>
    <t>Sealing wall niches with bricks with reinforcement and anchoring</t>
  </si>
  <si>
    <t>11</t>
  </si>
  <si>
    <t>Устройство стен в 1,5 кирпич</t>
  </si>
  <si>
    <t>Construction of walls in 1.5 bricks</t>
  </si>
  <si>
    <t>12</t>
  </si>
  <si>
    <t>Устройство перегородок в 0.5 кирпича</t>
  </si>
  <si>
    <t>Installation of partitions in 0.5 bricks</t>
  </si>
  <si>
    <t>13</t>
  </si>
  <si>
    <t xml:space="preserve">Штукатурка кирпичных стен </t>
  </si>
  <si>
    <t>Brick wall plastering</t>
  </si>
  <si>
    <t>14</t>
  </si>
  <si>
    <t>Штукатурка откосов</t>
  </si>
  <si>
    <t>Plastering of sides</t>
  </si>
  <si>
    <t>15</t>
  </si>
  <si>
    <t>Шпатлевка стен за 2 раза</t>
  </si>
  <si>
    <t>Wall puttying in 2 stages</t>
  </si>
  <si>
    <t>16</t>
  </si>
  <si>
    <t>Утепление стен пеноплексом</t>
  </si>
  <si>
    <t>Insulation of walls with penoplex</t>
  </si>
  <si>
    <t>17</t>
  </si>
  <si>
    <t>Шпатлевка наружных стен по утеплителю</t>
  </si>
  <si>
    <t>Puttying external walls over insulation</t>
  </si>
  <si>
    <t>18</t>
  </si>
  <si>
    <t>Масляная окраска стен.</t>
  </si>
  <si>
    <t>Oil painting of walls.</t>
  </si>
  <si>
    <t>19</t>
  </si>
  <si>
    <t>Устройство выравнивающей стяжки пола толщиной до 20 см.</t>
  </si>
  <si>
    <t>Installation of leveling floor screed up to 20 cm thick.</t>
  </si>
  <si>
    <t>20</t>
  </si>
  <si>
    <t>Устройство керамического плинтуса h=100 мм</t>
  </si>
  <si>
    <t>Installation of ceramic skirting board h=100 mm</t>
  </si>
  <si>
    <t>21</t>
  </si>
  <si>
    <t>Устройство подвесных потолков типа "Армстронг" в корридорах</t>
  </si>
  <si>
    <t>Installation of suspended ceilings of the "Armstrong" type in corridors</t>
  </si>
  <si>
    <t>22</t>
  </si>
  <si>
    <t>Устройство потолочного плинтуса</t>
  </si>
  <si>
    <t>Installation of ceiling skirting boards</t>
  </si>
  <si>
    <t>m</t>
  </si>
  <si>
    <t>23</t>
  </si>
  <si>
    <t>Монтаж оконных блоков металлопластиковый (5 камерный профиль со сложным открыванием, тройное остекление) с подоконником</t>
  </si>
  <si>
    <t>Installation of metal-plastic window units (5-chamber profile with complex opening, triple glazing) with a window sill</t>
  </si>
  <si>
    <t>24</t>
  </si>
  <si>
    <t>Монтаж дверей</t>
  </si>
  <si>
    <t>Installation of doors</t>
  </si>
  <si>
    <t>25</t>
  </si>
  <si>
    <t>Монтаж отливов окон металлический оцинкованный лист (толщ.0,7 мм)</t>
  </si>
  <si>
    <t>Installation of window sills metal galvanized sheet (thickness 0.7 mm)</t>
  </si>
  <si>
    <t>26</t>
  </si>
  <si>
    <t>Кровельные работы</t>
  </si>
  <si>
    <t>Roof works</t>
  </si>
  <si>
    <t>27</t>
  </si>
  <si>
    <t>Устройство утепления с пароизоляцией</t>
  </si>
  <si>
    <t>Installation of insulation with vapor barrier</t>
  </si>
  <si>
    <t>28</t>
  </si>
  <si>
    <t>Устройство кровли (устройство деревянного каркаса, покрытия из профилированного листа, монтаж фасонных элементов)</t>
  </si>
  <si>
    <t>Roof installation (installation of wooden frame, covering from profiled sheet, installation of shaped elements)</t>
  </si>
  <si>
    <t>29</t>
  </si>
  <si>
    <t>Сантехнические работы (ВК и О)</t>
  </si>
  <si>
    <t>Plumbing and heating</t>
  </si>
  <si>
    <t>30</t>
  </si>
  <si>
    <t>Прокладка трубопроводов водоснабжения из полипропиленовых труб  наружным диаметром 20 мм для холодной воды</t>
  </si>
  <si>
    <t>Laying water supply pipelines from polypropylene pipes with an outer diameter of 20 mm for cold water</t>
  </si>
  <si>
    <t>meter</t>
  </si>
  <si>
    <t>31</t>
  </si>
  <si>
    <t>Прокладка трубопроводов канализации из полиэтиленовых труб высокой плоtonости диаметром 50 мм</t>
  </si>
  <si>
    <t>Laying sewerage pipelines from high-density polyethylene pipes with a diameter of 50 mm</t>
  </si>
  <si>
    <t>32</t>
  </si>
  <si>
    <t>Прокладка трубопроводов канализации из полиэтиленовых труб высокой плоtonости диаметром 100 мм в траншее, с обраtonой засыпкой</t>
  </si>
  <si>
    <t>Laying sewerage pipelines from high-density polyethylene pipes with a diameter of 100 mm in a trench, with backfilling</t>
  </si>
  <si>
    <t>33</t>
  </si>
  <si>
    <t>Прокладка трубопроводов отопления стальных диаметром 20 мм для отопления</t>
  </si>
  <si>
    <t>Laying steel heating pipes with a diameter of 20 mm for heating</t>
  </si>
  <si>
    <t>34</t>
  </si>
  <si>
    <t>Монтаж смесителей для умывальника (хол/гор) в setекте</t>
  </si>
  <si>
    <t>Installation of washbasin mixers (cold/hot) in a set</t>
  </si>
  <si>
    <t>each.</t>
  </si>
  <si>
    <t>35</t>
  </si>
  <si>
    <t>Монтаж умывальников в setекте</t>
  </si>
  <si>
    <t>Installation of washbasins in a set</t>
  </si>
  <si>
    <t>36</t>
  </si>
  <si>
    <t>Покраска  радиаторов чугунных с трубами подводящими</t>
  </si>
  <si>
    <t>Painting cast iron radiators with supply pipes</t>
  </si>
  <si>
    <t>37</t>
  </si>
  <si>
    <t>Установка радиаторов</t>
  </si>
  <si>
    <t>Installation of radiators</t>
  </si>
  <si>
    <t>38</t>
  </si>
  <si>
    <t>Монтаж кранов шаровых  ø20  латунных с наружными резьбами с двухсторон, рукоятка "Бабочка" перед сан приборами для холодной и горячей воды</t>
  </si>
  <si>
    <t>Installation of ø20 brass ball valves with external threads on both sides, "Butterfly" handle in front of sanitary devices for cold and hot water</t>
  </si>
  <si>
    <t>39</t>
  </si>
  <si>
    <t>Устройство колодца канализационного  (земляные работы, устройство колодца, обраtonая засыпка)</t>
  </si>
  <si>
    <t>Construction of a sewer well (earthworks, well construction, backfilling)</t>
  </si>
  <si>
    <t>40</t>
  </si>
  <si>
    <t>Электромонтажные работы</t>
  </si>
  <si>
    <t>Electrical</t>
  </si>
  <si>
    <t>41</t>
  </si>
  <si>
    <t>Монтаж розетки eachепсельная для наружной установки</t>
  </si>
  <si>
    <t>Installation of a plug socket for outdoor installation</t>
  </si>
  <si>
    <t>set</t>
  </si>
  <si>
    <t>42</t>
  </si>
  <si>
    <t>Монтаж щита распределительного в setекте</t>
  </si>
  <si>
    <t>Installation of a distribution board in a set</t>
  </si>
  <si>
    <t>43</t>
  </si>
  <si>
    <t>Монтаж выключателя одноклавишный утопленного типа</t>
  </si>
  <si>
    <t>Installation of a single-key recessed switch</t>
  </si>
  <si>
    <t>44</t>
  </si>
  <si>
    <t>Монтаж светильников под "Амстронг" 60*60 LED 48Вт в комнатах</t>
  </si>
  <si>
    <t>Installation of lamps for "Amstrong" 60 * 60 LED 48W in rooms</t>
  </si>
  <si>
    <t>45</t>
  </si>
  <si>
    <t xml:space="preserve">Прокладка кабеля наружного. </t>
  </si>
  <si>
    <t>Outdoor cable installation.</t>
  </si>
  <si>
    <t>46</t>
  </si>
  <si>
    <t>Прокладка кабеля с медными жилами ВВГнгLS-3х2,5мм в eachробе</t>
  </si>
  <si>
    <t>Installation of a cable with copper cores VVGngLS-3x2.5mm in a groove</t>
  </si>
  <si>
    <t>47</t>
  </si>
  <si>
    <t>Прокладка кабеля с медными жилами ВВГнгLS-3х1,5мм в eachробе</t>
  </si>
  <si>
    <t>Installation of a cable with copper cores VVGngLS-3x1.5mm in a groove</t>
  </si>
  <si>
    <t>48</t>
  </si>
  <si>
    <t>Подключение к щиту в здании подстанции</t>
  </si>
  <si>
    <t>Connection to a panel in a substation building</t>
  </si>
  <si>
    <t>Connect</t>
  </si>
  <si>
    <t>49</t>
  </si>
  <si>
    <t>50</t>
  </si>
  <si>
    <t>Мобилизация подрядчика</t>
  </si>
  <si>
    <t>Contractor mobilization</t>
  </si>
  <si>
    <t>51</t>
  </si>
  <si>
    <t>Всего работа</t>
  </si>
  <si>
    <t>Total work</t>
  </si>
  <si>
    <t>52</t>
  </si>
  <si>
    <t>Неучтенные расходы 15%</t>
  </si>
  <si>
    <t>Unaccounted expenses 15%</t>
  </si>
  <si>
    <t>53</t>
  </si>
  <si>
    <t>Всего с неучтеными работами</t>
  </si>
  <si>
    <t>Total with unaccounted work</t>
  </si>
  <si>
    <t>54</t>
  </si>
  <si>
    <t>Соц.фонд 2.25%</t>
  </si>
  <si>
    <t>Social fund 2.25%</t>
  </si>
  <si>
    <t>55</t>
  </si>
  <si>
    <t>56</t>
  </si>
  <si>
    <t>57</t>
  </si>
  <si>
    <t>58</t>
  </si>
  <si>
    <t>Материалы</t>
  </si>
  <si>
    <t>Materials</t>
  </si>
  <si>
    <t>59</t>
  </si>
  <si>
    <t>60</t>
  </si>
  <si>
    <t>Армстронг</t>
  </si>
  <si>
    <t>Armstrong</t>
  </si>
  <si>
    <t>м2</t>
  </si>
  <si>
    <t>61</t>
  </si>
  <si>
    <t>Основная направляющая 3700мм</t>
  </si>
  <si>
    <t>Main guide 3700mm</t>
  </si>
  <si>
    <t>62</t>
  </si>
  <si>
    <t>Несущая направляющая 1200мм</t>
  </si>
  <si>
    <t>Bearing guide 1200mm</t>
  </si>
  <si>
    <t>63</t>
  </si>
  <si>
    <t>Несущая направляющая 600мм</t>
  </si>
  <si>
    <t>Bearing guide 600mm</t>
  </si>
  <si>
    <t>64</t>
  </si>
  <si>
    <t>Подвес 500мм</t>
  </si>
  <si>
    <t>Suspension 500mm</t>
  </si>
  <si>
    <t>65</t>
  </si>
  <si>
    <t>Полусухая цеменtonо-песчаная стяжка от 3 до 10см. Цемент</t>
  </si>
  <si>
    <t>Semi-dry cement-sand screed from 3 to 10cm. Cement</t>
  </si>
  <si>
    <t>ton</t>
  </si>
  <si>
    <t>66</t>
  </si>
  <si>
    <t>Tile cement adhesive for ceramic tiles AlinEX "SET 300", 25 kg</t>
  </si>
  <si>
    <t>kg</t>
  </si>
  <si>
    <t>67</t>
  </si>
  <si>
    <t xml:space="preserve">Сетка  </t>
  </si>
  <si>
    <t>Mesh</t>
  </si>
  <si>
    <t>68</t>
  </si>
  <si>
    <t>Плитка керамическая напольная, настенная</t>
  </si>
  <si>
    <t>Ceramic floor and wall tiles</t>
  </si>
  <si>
    <t>69</t>
  </si>
  <si>
    <t>White oil paint MA-15 0.8 kg STATUS</t>
  </si>
  <si>
    <t>70</t>
  </si>
  <si>
    <t>Кирпич Строительный керамический 250х120х65</t>
  </si>
  <si>
    <t>Ceramic construction brick 250x120x65</t>
  </si>
  <si>
    <t>71</t>
  </si>
  <si>
    <t>Сетка кладочная 5А500-50/5А500-400 ГОСТ Р 57265-2020</t>
  </si>
  <si>
    <t>Masonry mesh 5A500-50/5A500-400 GOST R 57265-2020</t>
  </si>
  <si>
    <t>72</t>
  </si>
  <si>
    <t>Раствор М100</t>
  </si>
  <si>
    <t>Mortory M100</t>
  </si>
  <si>
    <t>м3</t>
  </si>
  <si>
    <t>73</t>
  </si>
  <si>
    <t>Primer for walls and ceilings AlinEX "PRIMER", 5 kg</t>
  </si>
  <si>
    <t>Liter</t>
  </si>
  <si>
    <t>74</t>
  </si>
  <si>
    <t>Putty Alinex "FINISH P" 25 kg</t>
  </si>
  <si>
    <t>75</t>
  </si>
  <si>
    <t>Putty "Alinex Glatt" 25 kg</t>
  </si>
  <si>
    <t>76</t>
  </si>
  <si>
    <t xml:space="preserve">Потолочный плинтус </t>
  </si>
  <si>
    <t>Ceiling plinth</t>
  </si>
  <si>
    <t>77</t>
  </si>
  <si>
    <t>Половой плинтус (керамогранит h=100 мм)</t>
  </si>
  <si>
    <t>Floor plinth (granite tiles h=100 mm)</t>
  </si>
  <si>
    <t>78</t>
  </si>
  <si>
    <t>Окно пластиковое: 5-ти камерный профиль, тройное остекление (2300х2200)</t>
  </si>
  <si>
    <t>Plastic window: 5-chamber profile, triple glazing (2300x2200)</t>
  </si>
  <si>
    <t>79</t>
  </si>
  <si>
    <t>Внутренний матовый подокнник - пластиковый. п.м./each</t>
  </si>
  <si>
    <t>Internal matte window sill - plastic. running metre/each</t>
  </si>
  <si>
    <t>80</t>
  </si>
  <si>
    <t>Заглушка на матовый подоконик (белый)</t>
  </si>
  <si>
    <t>A plug for a matte window sill (white)</t>
  </si>
  <si>
    <t>81</t>
  </si>
  <si>
    <t>Наружный подоконик/отлив - металлический оцинкованный толщtonой 0,7 мм</t>
  </si>
  <si>
    <t>External window sill/drain - galvanized metal, thickness 0.7 mm</t>
  </si>
  <si>
    <t>82</t>
  </si>
  <si>
    <t xml:space="preserve">Стоппер для дверей </t>
  </si>
  <si>
    <t>Door stopper</t>
  </si>
  <si>
    <t>83</t>
  </si>
  <si>
    <t>Пена монтажная</t>
  </si>
  <si>
    <t>Mounting foam</t>
  </si>
  <si>
    <t>84</t>
  </si>
  <si>
    <t>Пеноплекс</t>
  </si>
  <si>
    <t>Penoplex</t>
  </si>
  <si>
    <t>85</t>
  </si>
  <si>
    <t>Метизы</t>
  </si>
  <si>
    <t>Hardware</t>
  </si>
  <si>
    <t>86</t>
  </si>
  <si>
    <t>Бетон Б-200</t>
  </si>
  <si>
    <t>Concrete B-200</t>
  </si>
  <si>
    <t>87</t>
  </si>
  <si>
    <t>Дверь наружная с замком 1080х2200</t>
  </si>
  <si>
    <t>External door with lock 1080x2200</t>
  </si>
  <si>
    <t>88</t>
  </si>
  <si>
    <t>Дверь внутренняя с замком 1080х2201</t>
  </si>
  <si>
    <t>Internal door with lock 1080x2201</t>
  </si>
  <si>
    <t>89</t>
  </si>
  <si>
    <t>Расходные материалы</t>
  </si>
  <si>
    <t>Consumables</t>
  </si>
  <si>
    <t>90</t>
  </si>
  <si>
    <t>Кровля</t>
  </si>
  <si>
    <t>91</t>
  </si>
  <si>
    <t>Пленка пароизоляция</t>
  </si>
  <si>
    <t>Vapor barrier film</t>
  </si>
  <si>
    <t>92</t>
  </si>
  <si>
    <t>Утеплитель минераловаtonый</t>
  </si>
  <si>
    <t>Mineral insulation</t>
  </si>
  <si>
    <t>93</t>
  </si>
  <si>
    <t>Пленка защиtonая</t>
  </si>
  <si>
    <t>Protective film</t>
  </si>
  <si>
    <t>94</t>
  </si>
  <si>
    <t>Оцинкованный профилированный лист</t>
  </si>
  <si>
    <t>Galvanized profiled sheet</t>
  </si>
  <si>
    <t>95</t>
  </si>
  <si>
    <t>Конек (300)</t>
  </si>
  <si>
    <t>Ridge (300)</t>
  </si>
  <si>
    <t>м</t>
  </si>
  <si>
    <t>96</t>
  </si>
  <si>
    <t>97</t>
  </si>
  <si>
    <t>98</t>
  </si>
  <si>
    <t>Труба пластиковая ф20</t>
  </si>
  <si>
    <t>Plastic pipe f20</t>
  </si>
  <si>
    <t>99</t>
  </si>
  <si>
    <t>Отводы пластиковые ф20</t>
  </si>
  <si>
    <t>Plastic elbows f20</t>
  </si>
  <si>
    <t>100</t>
  </si>
  <si>
    <t>Кран шаровой латунный ф20</t>
  </si>
  <si>
    <t>Brass ball valve f20</t>
  </si>
  <si>
    <t>101</t>
  </si>
  <si>
    <t>Шланг гибкий ф 20</t>
  </si>
  <si>
    <t>Flexible hose f20</t>
  </si>
  <si>
    <t>102</t>
  </si>
  <si>
    <t>Тройник ф20</t>
  </si>
  <si>
    <t>Tee f20</t>
  </si>
  <si>
    <t>103</t>
  </si>
  <si>
    <t>Сгоны ф20</t>
  </si>
  <si>
    <t>Nipples f20</t>
  </si>
  <si>
    <t>104</t>
  </si>
  <si>
    <t>Раковина</t>
  </si>
  <si>
    <t>Sink</t>
  </si>
  <si>
    <t>105</t>
  </si>
  <si>
    <t>Водонагреватель (10 литров)</t>
  </si>
  <si>
    <t>Water heater (10 liters)</t>
  </si>
  <si>
    <t>106</t>
  </si>
  <si>
    <t>Смеситель латунный</t>
  </si>
  <si>
    <t>Brass mixer</t>
  </si>
  <si>
    <t>107</t>
  </si>
  <si>
    <t>Труба пластиковая ф50</t>
  </si>
  <si>
    <t>Plastic pipe f50</t>
  </si>
  <si>
    <t>108</t>
  </si>
  <si>
    <t>Труба пластиковая ф100</t>
  </si>
  <si>
    <t>Plastic pipe f100</t>
  </si>
  <si>
    <t>109</t>
  </si>
  <si>
    <t xml:space="preserve">Сифон </t>
  </si>
  <si>
    <t>Siphon</t>
  </si>
  <si>
    <t>110</t>
  </si>
  <si>
    <t>Шланг гибкий ф50</t>
  </si>
  <si>
    <t>Flexible hose f50</t>
  </si>
  <si>
    <t>111</t>
  </si>
  <si>
    <t>Тройник пластиковый ф50</t>
  </si>
  <si>
    <t>Plastic tee f50</t>
  </si>
  <si>
    <t>112</t>
  </si>
  <si>
    <t>Отвод пластиковый ф50</t>
  </si>
  <si>
    <t>Plastic elbow f50</t>
  </si>
  <si>
    <t>113</t>
  </si>
  <si>
    <t>Ревизия ф50</t>
  </si>
  <si>
    <t>Inspection f50</t>
  </si>
  <si>
    <t>114</t>
  </si>
  <si>
    <t>Люк чугунный</t>
  </si>
  <si>
    <t>Cast iron hatch</t>
  </si>
  <si>
    <t>115</t>
  </si>
  <si>
    <t>Кирпич полнотелый</t>
  </si>
  <si>
    <t>Solid brick</t>
  </si>
  <si>
    <t>116</t>
  </si>
  <si>
    <t>Бетон класс В15</t>
  </si>
  <si>
    <t>Concrete class B15</t>
  </si>
  <si>
    <t>117</t>
  </si>
  <si>
    <t>Труба стальная ф25</t>
  </si>
  <si>
    <t>Steel pipe f25</t>
  </si>
  <si>
    <t>118</t>
  </si>
  <si>
    <t>Отводы пстальные ф25</t>
  </si>
  <si>
    <t>Steel elbows f25</t>
  </si>
  <si>
    <t>119</t>
  </si>
  <si>
    <t>Кран шаровой латунный ф25</t>
  </si>
  <si>
    <t>Brass ball valve f25</t>
  </si>
  <si>
    <t>120</t>
  </si>
  <si>
    <t>Сгоны ф25</t>
  </si>
  <si>
    <t>Nipples f25</t>
  </si>
  <si>
    <t>121</t>
  </si>
  <si>
    <t>Радиатор чугунный в setекте</t>
  </si>
  <si>
    <t>Cast iron radiator in setekte</t>
  </si>
  <si>
    <t>сек.</t>
  </si>
  <si>
    <t>122</t>
  </si>
  <si>
    <t>Кран маевского</t>
  </si>
  <si>
    <t>Maevsky crane</t>
  </si>
  <si>
    <t>123</t>
  </si>
  <si>
    <t>124</t>
  </si>
  <si>
    <t>125</t>
  </si>
  <si>
    <t>Силовой кабель kgН, кабель с алюминиевыми жилами, сечением: 4х16</t>
  </si>
  <si>
    <t>Power cable kgN, cable with aluminum cores, cross-section: 4x16</t>
  </si>
  <si>
    <t>126</t>
  </si>
  <si>
    <t>Кабель медный в двойной изоляции, ГОСТ 16442-80, сечением :</t>
  </si>
  <si>
    <t>Copper cable in double insulation, GOST 16442-80, cross-section:</t>
  </si>
  <si>
    <t>127</t>
  </si>
  <si>
    <t>3х2.5 мм2</t>
  </si>
  <si>
    <t>3x2.5 mm2</t>
  </si>
  <si>
    <t>128</t>
  </si>
  <si>
    <t>3х1.5 мм2</t>
  </si>
  <si>
    <t>3x1.5 mm2</t>
  </si>
  <si>
    <t>129</t>
  </si>
  <si>
    <t>Щит распределительный</t>
  </si>
  <si>
    <t>Distribution board</t>
  </si>
  <si>
    <t>130</t>
  </si>
  <si>
    <t>Выключатель автоматический 3П ВА47-29 Iном=63, Iр=32А</t>
  </si>
  <si>
    <t>Circuit breaker 3P VA47-29 Inom=63, Ip=32A</t>
  </si>
  <si>
    <t>131</t>
  </si>
  <si>
    <t>Выключатель автоматический 3П ВА47-29 Iном=63, Iр=16А</t>
  </si>
  <si>
    <t>Circuit breaker 3P VA47-29 Inom=63, Ip=16A</t>
  </si>
  <si>
    <t>132</t>
  </si>
  <si>
    <t>Выключатель автоматический 1П ВА47-29 Iном=63, Iр=10А</t>
  </si>
  <si>
    <t>Circuit breaker 1P VA47-29 Inom=63, Ip=10A</t>
  </si>
  <si>
    <t>133</t>
  </si>
  <si>
    <t>Выключатель скрытой установки, одноклавишный, ном. ток 10А, (IP20).</t>
  </si>
  <si>
    <t>Concealed switch, single-key, rated current 10A, (IP20).</t>
  </si>
  <si>
    <t>134</t>
  </si>
  <si>
    <t>Розетка скрытой установки , одномесtonая ,I ном .=16 А. (IP20).</t>
  </si>
  <si>
    <t>Concealed socket, single-position, I nom.=16 A. (IP20).</t>
  </si>
  <si>
    <t>135</t>
  </si>
  <si>
    <t>Светильники С070/N</t>
  </si>
  <si>
    <t>S070/N luminaires</t>
  </si>
  <si>
    <t>136</t>
  </si>
  <si>
    <t>137</t>
  </si>
  <si>
    <t>138</t>
  </si>
  <si>
    <t>Всего материалы</t>
  </si>
  <si>
    <t>Total materials</t>
  </si>
  <si>
    <t>139</t>
  </si>
  <si>
    <t>Транспортные расходы 5%</t>
  </si>
  <si>
    <t>Transportation costs 5%</t>
  </si>
  <si>
    <t>140</t>
  </si>
  <si>
    <t>Всего материалы с транспортными расходами</t>
  </si>
  <si>
    <t>Total materials with transportation costs</t>
  </si>
  <si>
    <t>143</t>
  </si>
  <si>
    <t>ВСЕГО РАБОТА+МАТЕРИАЛЫ</t>
  </si>
  <si>
    <t>TOTAL WORK + MATERIALS</t>
  </si>
  <si>
    <r>
      <t>Приложение №3
к Договору №«</t>
    </r>
    <r>
      <rPr>
        <u/>
        <sz val="8"/>
        <rFont val="Times New Roman"/>
        <family val="1"/>
        <charset val="204"/>
      </rPr>
      <t>          </t>
    </r>
    <r>
      <rPr>
        <sz val="8"/>
        <rFont val="Times New Roman"/>
        <family val="1"/>
        <charset val="204"/>
      </rPr>
      <t>»</t>
    </r>
    <r>
      <rPr>
        <u/>
        <sz val="8"/>
        <rFont val="Times New Roman"/>
        <family val="1"/>
        <charset val="204"/>
      </rPr>
      <t>                     </t>
    </r>
    <r>
      <rPr>
        <sz val="8"/>
        <rFont val="Times New Roman"/>
        <family val="1"/>
        <charset val="204"/>
      </rPr>
      <t xml:space="preserve">  от "</t>
    </r>
    <r>
      <rPr>
        <u/>
        <sz val="8"/>
        <rFont val="Times New Roman"/>
        <family val="1"/>
        <charset val="204"/>
      </rPr>
      <t>      </t>
    </r>
    <r>
      <rPr>
        <sz val="8"/>
        <rFont val="Times New Roman"/>
        <family val="1"/>
        <charset val="204"/>
      </rPr>
      <t xml:space="preserve">" </t>
    </r>
    <r>
      <rPr>
        <u/>
        <sz val="8"/>
        <rFont val="Times New Roman"/>
        <family val="1"/>
        <charset val="204"/>
      </rPr>
      <t>                   </t>
    </r>
    <r>
      <rPr>
        <sz val="8"/>
        <rFont val="Times New Roman"/>
        <family val="1"/>
        <charset val="204"/>
      </rPr>
      <t xml:space="preserve">2024 г.
Наименование стройки                                                                  </t>
    </r>
    <r>
      <rPr>
        <b/>
        <sz val="8"/>
        <rFont val="Times New Roman"/>
        <family val="1"/>
        <charset val="204"/>
      </rPr>
      <t>Таласский золоторудный комбинат</t>
    </r>
  </si>
  <si>
    <t xml:space="preserve">Наименование площадки объекта                                                </t>
  </si>
  <si>
    <t>Площадка Пионерного поселка на отм.+1850</t>
  </si>
  <si>
    <t xml:space="preserve">Наименования объекта                                                                 </t>
  </si>
  <si>
    <t>Общежитие Блок "А"</t>
  </si>
  <si>
    <t xml:space="preserve">Вид работы </t>
  </si>
  <si>
    <t>Ремонтные СМР</t>
  </si>
  <si>
    <t>Вид документа</t>
  </si>
  <si>
    <t>ВОР</t>
  </si>
  <si>
    <r>
      <rPr>
        <b/>
        <u/>
        <sz val="10"/>
        <rFont val="Times New Roman"/>
        <family val="1"/>
        <charset val="204"/>
      </rPr>
      <t>Объектная  ресурсная сметная стоимость</t>
    </r>
  </si>
  <si>
    <t>№ п/п</t>
  </si>
  <si>
    <t>Наименование вида работ</t>
  </si>
  <si>
    <r>
      <rPr>
        <b/>
        <sz val="10"/>
        <rFont val="Times New Roman"/>
        <family val="1"/>
        <charset val="204"/>
      </rPr>
      <t>Стоимость
(сом)</t>
    </r>
  </si>
  <si>
    <t>Разд. 1</t>
  </si>
  <si>
    <t>Стоимость работ (стоимость заработной платы)</t>
  </si>
  <si>
    <t>Разд. 2</t>
  </si>
  <si>
    <t>Разд. 3</t>
  </si>
  <si>
    <t>Автоуслуги и механизмы</t>
  </si>
  <si>
    <t>Разд. 4</t>
  </si>
  <si>
    <t>Косвенные расходы</t>
  </si>
  <si>
    <t>Разд. 5</t>
  </si>
  <si>
    <t>Налоги</t>
  </si>
  <si>
    <t>Непредвиденные расходы 10%</t>
  </si>
  <si>
    <t>Всего</t>
  </si>
  <si>
    <t>Ед. изм.</t>
  </si>
  <si>
    <t>кол-во</t>
  </si>
  <si>
    <r>
      <rPr>
        <b/>
        <sz val="10"/>
        <rFont val="Times New Roman"/>
        <family val="1"/>
        <charset val="204"/>
      </rPr>
      <t>цена за
ед., сом</t>
    </r>
  </si>
  <si>
    <t>сумма, сом</t>
  </si>
  <si>
    <t>Примечание</t>
  </si>
  <si>
    <t>Рекомендуемая цена (средняя по рынку)</t>
  </si>
  <si>
    <t>Демонтажные работы (все демонтажные работы производить с сохранение материалов, оборудования, приборов)</t>
  </si>
  <si>
    <t>1.1</t>
  </si>
  <si>
    <t>Разборка линолеумных полов с плинтусом</t>
  </si>
  <si>
    <t>1.2</t>
  </si>
  <si>
    <t>Разборка полов из керамической плитки</t>
  </si>
  <si>
    <t>1.3</t>
  </si>
  <si>
    <t>Разборка стен из керамической плитки</t>
  </si>
  <si>
    <t>1.4</t>
  </si>
  <si>
    <t>Демонтаж коробов в с/узлах</t>
  </si>
  <si>
    <t>м/п</t>
  </si>
  <si>
    <t>1.5</t>
  </si>
  <si>
    <t>Демонтаж оконных блоков, дверных блоков балконов,
входной группы (передача материалов Заказчику)</t>
  </si>
  <si>
    <t>шт</t>
  </si>
  <si>
    <t>1.6</t>
  </si>
  <si>
    <t>Демонтаж дверных блоков межкомнатных, с/узлов
(передача материалов Заказчику)</t>
  </si>
  <si>
    <t>1.7</t>
  </si>
  <si>
    <t>Демонтаж кирпичных перегородок</t>
  </si>
  <si>
    <t>1.8</t>
  </si>
  <si>
    <t>Демонтаж осветительных электроприборов и оборудования (светильники) (передача материалов Заказчику)</t>
  </si>
  <si>
    <t>1.9</t>
  </si>
  <si>
    <t>Демонтаж электроприборов и оборудования (розетки,
выключатели) (передача материалов Заказчику)</t>
  </si>
  <si>
    <t>1.10</t>
  </si>
  <si>
    <t>Снятие набела стен, потолков</t>
  </si>
  <si>
    <t>2 913,0</t>
  </si>
  <si>
    <t>1.11</t>
  </si>
  <si>
    <t>Демонтаж умывальников, раковин (передача материалов Заказчику)</t>
  </si>
  <si>
    <t>1.12</t>
  </si>
  <si>
    <t>Демонтаж душевых поддонов, ванн (передача материалов Заказчику)</t>
  </si>
  <si>
    <t>1.13</t>
  </si>
  <si>
    <t>Демонтаж унитазов (передача материалов Заказчику)</t>
  </si>
  <si>
    <t>1.14</t>
  </si>
  <si>
    <t>Демонтаж водонагревателеей с подводкой системы подачи воды (передача материалов Заказчику)</t>
  </si>
  <si>
    <t>1.15</t>
  </si>
  <si>
    <t>Устройство гидроизоляции ( в мокрых помещениях) - Гидроизоляция обмазочная «Alinex» AQUAFLEX (25кг)</t>
  </si>
  <si>
    <t>1.16</t>
  </si>
  <si>
    <t xml:space="preserve">Устройство гидроизоляции ( в мокрых помещениях) - Гидроизоляция Технониколь </t>
  </si>
  <si>
    <t>1.17</t>
  </si>
  <si>
    <t>1.18</t>
  </si>
  <si>
    <t>Штукатурка кирпичных стен (Ротбанд)</t>
  </si>
  <si>
    <t>1.19</t>
  </si>
  <si>
    <t>Устройство проема в кирпичной перегородке с усилением проема (перемычка)</t>
  </si>
  <si>
    <t>1.20</t>
  </si>
  <si>
    <t>Защитная оклейка коробов слаботочной, электрической
системы, оборудования (датчики, розетки и пр.)</t>
  </si>
  <si>
    <t>комп</t>
  </si>
  <si>
    <t>1.21</t>
  </si>
  <si>
    <t>Ремонт стен, потолков отдельными местами 25% стен
(Ротбанд)</t>
  </si>
  <si>
    <t>1.22</t>
  </si>
  <si>
    <t>Выравнивание стен, потолков, откосов шпаклеванием</t>
  </si>
  <si>
    <t>3 145,0</t>
  </si>
  <si>
    <t>1.23</t>
  </si>
  <si>
    <t>Шлифовка стен, потолков</t>
  </si>
  <si>
    <t>1.24</t>
  </si>
  <si>
    <t>Обеспыливание поверхности стен, потолков</t>
  </si>
  <si>
    <t>1.25</t>
  </si>
  <si>
    <t>Устройство деревянного пола по лагам (h=30 см) поднять пол до отм.коридора</t>
  </si>
  <si>
    <t>1.26</t>
  </si>
  <si>
    <t>Устройство выравнивающей стяжки пола</t>
  </si>
  <si>
    <t>1.27</t>
  </si>
  <si>
    <t>Устройство покрытия пола (наливной пол) - 2 мм - 50 мм</t>
  </si>
  <si>
    <t>1.28</t>
  </si>
  <si>
    <t>В/эмульсионная окраска стен за 2 раза (ТЕКСА)</t>
  </si>
  <si>
    <t>2 568,0</t>
  </si>
  <si>
    <t>1.29</t>
  </si>
  <si>
    <t>В/эмульсионная окраска потолков за 2 раза  (ТЕКСА)</t>
  </si>
  <si>
    <t>1.30</t>
  </si>
  <si>
    <t>Масляная окраска стен, стен пролетов лестничных маршей и площадок (панель h=0,5)</t>
  </si>
  <si>
    <t>1.31</t>
  </si>
  <si>
    <t>Масляная окраска ограждений лестничных маршей,
площадок, лестницы выхода на чердак с очисткой старой краски</t>
  </si>
  <si>
    <t>1.32</t>
  </si>
  <si>
    <t>Устройство усиленной гидроизоляции полов с/узлов,
душевых составом «Alinex» AQUAFLEX (25кг)</t>
  </si>
  <si>
    <t>1.33</t>
  </si>
  <si>
    <t>Устройство бетонных поддонов душевых кабинок (5 шт)</t>
  </si>
  <si>
    <t>1.34</t>
  </si>
  <si>
    <t>Облицовка стен с/узлов, душевых керамической плиткой</t>
  </si>
  <si>
    <t>м²</t>
  </si>
  <si>
    <t>1.35</t>
  </si>
  <si>
    <t>Облицовка пола с/узлов, душевых керамической плиткой</t>
  </si>
  <si>
    <t>1.36</t>
  </si>
  <si>
    <t>Облицовка пола корридоров керамогранит с плинтусом из плитки 60х60 - 100 мм</t>
  </si>
  <si>
    <t>1.37</t>
  </si>
  <si>
    <t>Облицовка лесничных площадок керамогранит с плинтусом из плитки 60х60 - 100 мм</t>
  </si>
  <si>
    <t>1.38</t>
  </si>
  <si>
    <t>Покраска лесничных маршей эмалевой краской</t>
  </si>
  <si>
    <t>1.39</t>
  </si>
  <si>
    <t>п.м.</t>
  </si>
  <si>
    <t>1.40</t>
  </si>
  <si>
    <t>Ремонт откосов оконных, дверных проемов наружных
(Ротбанд)</t>
  </si>
  <si>
    <t>1.41</t>
  </si>
  <si>
    <t>Ремонт откосов оконных, дверных проемов внутренних
(Ротбанд)</t>
  </si>
  <si>
    <t>1.42</t>
  </si>
  <si>
    <t>Устройство полов из ламината промышленной серии класс 4</t>
  </si>
  <si>
    <t>1.43</t>
  </si>
  <si>
    <t>Монтаж плинтуса МДФ h-100мм</t>
  </si>
  <si>
    <t>1.44</t>
  </si>
  <si>
    <t>Устройство подвесных потолков типа "Армстронг" в
корридорах</t>
  </si>
  <si>
    <t>1.45</t>
  </si>
  <si>
    <t>Устройство натяжных подвесных потолков в с/узлах,
душевых, умывальных</t>
  </si>
  <si>
    <t>1.46</t>
  </si>
  <si>
    <t>1.47</t>
  </si>
  <si>
    <t>Монтаж оконных блоков металлопластиковый (5 камерный профиль со сложным открыванием, тройное остекление, нижнее заполнение “Ламбер”) с подоконником</t>
  </si>
  <si>
    <t>монтаж за м2 значительно завышен</t>
  </si>
  <si>
    <t>1.48</t>
  </si>
  <si>
    <t>Монтаж дверных блоков балконов металлопластиковые (5 камерный профиль тройное остекление, нижнее заполнение “Ламбер”)</t>
  </si>
  <si>
    <t>1.49</t>
  </si>
  <si>
    <t>Монтаж дверных блоков (металллопластиковые входные корридорные с рефленым остеклением)</t>
  </si>
  <si>
    <t>1.50</t>
  </si>
  <si>
    <t>Монтаж входных дверных блоков металлических
утепленных "Дорхан"</t>
  </si>
  <si>
    <t>1.51</t>
  </si>
  <si>
    <t>Монтаж металлопластиковых перегородок в душевых
кабинках (заполнение "ламбер") с дверьми</t>
  </si>
  <si>
    <t>1.52</t>
  </si>
  <si>
    <t>Монтаж межкомнатных дверных блоков МДФ</t>
  </si>
  <si>
    <t>1.53</t>
  </si>
  <si>
    <t>Монтаж металлопластиковых дверей с/узлов с решеткой
вентиляции (2,1*0,9)</t>
  </si>
  <si>
    <t>1.54</t>
  </si>
  <si>
    <t>Монтаж металлопластиковых перегородок с дверью в
корридоре с рифленым стеклом</t>
  </si>
  <si>
    <t>1.55</t>
  </si>
  <si>
    <t>1.56</t>
  </si>
  <si>
    <t>Устройство козырьков входных групп по металлическому каркасу с покрытием из металлических профилированных листов</t>
  </si>
  <si>
    <t>1.57</t>
  </si>
  <si>
    <t>Облицовка ступеней входной группы плиткой
керамогранит для наружных работ антискользящий</t>
  </si>
  <si>
    <t>1.58</t>
  </si>
  <si>
    <t>Устройство коробов в с/узлах (вентил, канализ)</t>
  </si>
  <si>
    <t>Сантехнические работы</t>
  </si>
  <si>
    <t>1.59</t>
  </si>
  <si>
    <t>Прокладка трубопроводов водоснабжения из полипропиленовых труб  наружным диаметром 20 мм для холодной воды (24 с/узлов + 3 душевых с 5 кабинок)</t>
  </si>
  <si>
    <t>уточнить по месту</t>
  </si>
  <si>
    <t>1.60</t>
  </si>
  <si>
    <t>Прокладка трубопроводов водоснабжения из полипропиленовых труб  наружным диаметром 20 мм для горячей воды центрального водоснабжения (24 с/узлов + 3 душевых с 5 кабинок)</t>
  </si>
  <si>
    <t>1.61</t>
  </si>
  <si>
    <t>Прокладка трубопроводов канализации из полиэтиленовых труб высокой плотности диаметром 50 мм (24 с/узла + 3 душевых с 5 кабинок)</t>
  </si>
  <si>
    <t>1.62</t>
  </si>
  <si>
    <t>Прокладка трубопроводов канализации из полиэтиленовых труб высокой плотности диаметром 100 мм (24 с/узла + 3 душевых на 5 кабинок)</t>
  </si>
  <si>
    <t>1.63</t>
  </si>
  <si>
    <t>Монтаж смесителей для умывальника (хол/гор) в комплекте</t>
  </si>
  <si>
    <t>шт.</t>
  </si>
  <si>
    <t>1.64</t>
  </si>
  <si>
    <t>Монтаж смесителей для душевых кабинок в комплекте</t>
  </si>
  <si>
    <t>1.65</t>
  </si>
  <si>
    <t>Монтаж унитазов в комплекте</t>
  </si>
  <si>
    <t>1.66</t>
  </si>
  <si>
    <t>Монтаж умывальников в комплекте</t>
  </si>
  <si>
    <t>1.67</t>
  </si>
  <si>
    <t>Монтаж трапов душевых кабинок/комнат</t>
  </si>
  <si>
    <t>1.68</t>
  </si>
  <si>
    <t>Монтаж вентилей отсекающих на сантехнику</t>
  </si>
  <si>
    <t>1.69</t>
  </si>
  <si>
    <t>Покраска  радиаторов чугунных с трубами подводящими, 6 секций</t>
  </si>
  <si>
    <t>1.70</t>
  </si>
  <si>
    <t>Перенос радиаторов в душевой</t>
  </si>
  <si>
    <t>1.71</t>
  </si>
  <si>
    <t>Монтаж труб полипропиленовая РN10 ø20-25</t>
  </si>
  <si>
    <t>1.72</t>
  </si>
  <si>
    <t>Монтаж труб полипропиленовая РN10 ø32</t>
  </si>
  <si>
    <t>1.73</t>
  </si>
  <si>
    <t>Монтаж труб полипропиленовая РN10 ø50</t>
  </si>
  <si>
    <t>1.74</t>
  </si>
  <si>
    <t>1.75</t>
  </si>
  <si>
    <t>Монтаж КРАН ЛАТУННЫЙ С PPR МУФТАМИ ø32 перед входом в сан узел для холодной и горячей воды на стояке</t>
  </si>
  <si>
    <t>1.76</t>
  </si>
  <si>
    <t>МонтажКРАН PPR VALTEC ø50 начало водопровода</t>
  </si>
  <si>
    <t>1.77</t>
  </si>
  <si>
    <t xml:space="preserve">Монтаж ПЛАНКА С ВОДОРАЗЕТКАМИ ВНУТР. РЕЗЬБА 20Х1/2" для душевых, раковин </t>
  </si>
  <si>
    <t>1.78</t>
  </si>
  <si>
    <t>Монтаж ВОДОРОЗЕТКИ С ВНУТРЕННЕЙ РЕЗЬБОЙ 20Х1/2 для унитазов</t>
  </si>
  <si>
    <t>1.79</t>
  </si>
  <si>
    <t>Монтаж Счетчика</t>
  </si>
  <si>
    <t>1.80</t>
  </si>
  <si>
    <t>Монтаж розетки штепсельная для наружной установки</t>
  </si>
  <si>
    <t>компл</t>
  </si>
  <si>
    <t>Определить по факту СГЭ</t>
  </si>
  <si>
    <t>1.81</t>
  </si>
  <si>
    <t>Монтаж выключателя для наружной установки
двухклавишный</t>
  </si>
  <si>
    <t>1.82</t>
  </si>
  <si>
    <t>Монтаж выключателя одноклавишный неутопленного типа при открытой проводке (монтаж)</t>
  </si>
  <si>
    <t>1.83</t>
  </si>
  <si>
    <t>1.84</t>
  </si>
  <si>
    <t>Монтаж светильников под "Амстронг" 40*40</t>
  </si>
  <si>
    <t>1.85</t>
  </si>
  <si>
    <t>Монтаж светильников влагостойких в душевых, с/узлах CD LED 18 Вт</t>
  </si>
  <si>
    <t>1.86</t>
  </si>
  <si>
    <t>Прокладка кабеля с медными жилами ВВГнгLS-3х2,5мм в штробе</t>
  </si>
  <si>
    <t>учесть кабель на вентиляторы в с/узлах, душевых</t>
  </si>
  <si>
    <t>1.87</t>
  </si>
  <si>
    <t>Прокладка кабеля с медными жилами ВВГнгLS-3х1,5мм в штробе</t>
  </si>
  <si>
    <r>
      <rPr>
        <b/>
        <sz val="10"/>
        <rFont val="Times New Roman"/>
        <family val="1"/>
        <charset val="204"/>
      </rPr>
      <t xml:space="preserve">Вентиляция: </t>
    </r>
    <r>
      <rPr>
        <sz val="10"/>
        <rFont val="Times New Roman"/>
        <family val="1"/>
        <charset val="204"/>
      </rPr>
      <t>В существующей схеме вентиляции блоков «А» и «Б»  диаметр  магистрального воздуховода с 1 по 3 этажи всего 100 мм и все три санузла подключены к нему и выведены на чердак, а далее  объединены в общий воздуховод и выведены на кровлю. Требуется полная замена воздуховодов, с каждого санузла  вывести отдельным.
На вентиляцию общих душевых установить канальные вентиляторы с шумоглушителями в чердачном помещении.</t>
    </r>
  </si>
  <si>
    <t>1.88</t>
  </si>
  <si>
    <t>Монтаж вентиляторов осевых с/узлов</t>
  </si>
  <si>
    <t>1.89</t>
  </si>
  <si>
    <t>Замена стояков вентиляционных (труба пластик )</t>
  </si>
  <si>
    <t>1.90</t>
  </si>
  <si>
    <t>Прокладка коробов вытяжной вентиляции душевых</t>
  </si>
  <si>
    <t>1.91</t>
  </si>
  <si>
    <t>Монтаж шумоглушителя</t>
  </si>
  <si>
    <t>1.92</t>
  </si>
  <si>
    <t>Монтаж вентилятора канального душевых</t>
  </si>
  <si>
    <t>1.93</t>
  </si>
  <si>
    <t>Монтаж обратного клапана душевых</t>
  </si>
  <si>
    <t>1.94</t>
  </si>
  <si>
    <t>Монтаж автомата на вытяжную вентиляцию</t>
  </si>
  <si>
    <t>1.95</t>
  </si>
  <si>
    <t>Коробка распределительная КSC11-501</t>
  </si>
  <si>
    <t>Итого стоимость работ (в сом):</t>
  </si>
  <si>
    <t>2.1</t>
  </si>
  <si>
    <t>Упаковочный материал для сдемонтрованых элементов и для передачи службе АХО Альянс-Алтын</t>
  </si>
  <si>
    <t>(скотч,мешки,коробки, поддоны для кирпечей и др. сдемонтированных мат-лов)</t>
  </si>
  <si>
    <t>убрать эту позицию (работники АХО АА выполнят эту работу своими средствами)</t>
  </si>
  <si>
    <t>2.2</t>
  </si>
  <si>
    <t>2.3</t>
  </si>
  <si>
    <t>Потолочная панель 600х600мм</t>
  </si>
  <si>
    <t>2.4</t>
  </si>
  <si>
    <t>2.5</t>
  </si>
  <si>
    <t>2.6</t>
  </si>
  <si>
    <t>2.7</t>
  </si>
  <si>
    <t>2.8</t>
  </si>
  <si>
    <t>Пристенный молдинг 3000мм</t>
  </si>
  <si>
    <t>2.9</t>
  </si>
  <si>
    <r>
      <t xml:space="preserve">Полусухая цементно-песчаная стяжка от 3 до 7см. </t>
    </r>
    <r>
      <rPr>
        <b/>
        <u/>
        <sz val="10"/>
        <rFont val="Times New Roman"/>
        <family val="1"/>
        <charset val="204"/>
      </rPr>
      <t>Цемент</t>
    </r>
  </si>
  <si>
    <t>тн</t>
  </si>
  <si>
    <t>2.10</t>
  </si>
  <si>
    <r>
      <t xml:space="preserve">Полусухая цементно-песчаная стяжка от 3 до 7см. </t>
    </r>
    <r>
      <rPr>
        <b/>
        <u/>
        <sz val="10"/>
        <rFont val="Times New Roman"/>
        <family val="1"/>
        <charset val="204"/>
      </rPr>
      <t>Песок</t>
    </r>
  </si>
  <si>
    <t>2.11</t>
  </si>
  <si>
    <r>
      <t>Полусухая цементно-песчаная стяжка от 3 до 7см.</t>
    </r>
    <r>
      <rPr>
        <b/>
        <u/>
        <sz val="10"/>
        <rFont val="Times New Roman"/>
        <family val="1"/>
        <charset val="204"/>
      </rPr>
      <t xml:space="preserve"> Щебень</t>
    </r>
  </si>
  <si>
    <t>2.12</t>
  </si>
  <si>
    <t xml:space="preserve">Готовая смесь для наливных полов  </t>
  </si>
  <si>
    <t>кг</t>
  </si>
  <si>
    <t>2.13</t>
  </si>
  <si>
    <t>Гидроизоляция обмазочная «Alinex» AQUAFLEX (25кг)</t>
  </si>
  <si>
    <t>2.14</t>
  </si>
  <si>
    <t xml:space="preserve">Гидроизоляция Технониколь </t>
  </si>
  <si>
    <t>2.15</t>
  </si>
  <si>
    <t>Плиточный цементный клей для керамической плитки AlinEX «SET 300», 25 кг</t>
  </si>
  <si>
    <t>2.16</t>
  </si>
  <si>
    <t>2.17</t>
  </si>
  <si>
    <t>Керамогранит, цвет?</t>
  </si>
  <si>
    <t>2.18</t>
  </si>
  <si>
    <t>Краска для стен и потолка ИНТЕРЬЕРНАЯ ТЕКС ПРОФИ (9 База А)</t>
  </si>
  <si>
    <t>2.19</t>
  </si>
  <si>
    <t>Краска масляная белая МА-15 0,8кг STATUS</t>
  </si>
  <si>
    <t>2.20</t>
  </si>
  <si>
    <t>Регулируемые опоры BS-2 (55-72)</t>
  </si>
  <si>
    <t>2.21</t>
  </si>
  <si>
    <t>Брус 140х40</t>
  </si>
  <si>
    <t>2.22</t>
  </si>
  <si>
    <t>Лист OSB t=20 мм</t>
  </si>
  <si>
    <t>2.23</t>
  </si>
  <si>
    <t>2.24</t>
  </si>
  <si>
    <t>2.25</t>
  </si>
  <si>
    <t>2.26</t>
  </si>
  <si>
    <t>Стеновой гипсокартон Knauf (при однослойной обшивке)</t>
  </si>
  <si>
    <t>2.27</t>
  </si>
  <si>
    <t>Профиль направляющий UW 75</t>
  </si>
  <si>
    <t>2.28</t>
  </si>
  <si>
    <t>Профиль стоечный CW 75/50</t>
  </si>
  <si>
    <t>2.29</t>
  </si>
  <si>
    <t>Саморез для гипсокартона</t>
  </si>
  <si>
    <t>2.30</t>
  </si>
  <si>
    <t>Шпаклевка для швов/Затирка для швов ГКЛ AlinEX «JOINT», 25 кг</t>
  </si>
  <si>
    <t>2.31</t>
  </si>
  <si>
    <t>Лента для швов</t>
  </si>
  <si>
    <t>2.32</t>
  </si>
  <si>
    <t>Дюбель гриб 6/40</t>
  </si>
  <si>
    <t>2.33</t>
  </si>
  <si>
    <t>Лента уплотнительная</t>
  </si>
  <si>
    <t>2.34</t>
  </si>
  <si>
    <t>Грунтовка для стен и потолка AlinEX «PRIMER», 5 кг</t>
  </si>
  <si>
    <t>литр</t>
  </si>
  <si>
    <t>2.35</t>
  </si>
  <si>
    <t>Утеплитель минераловатный</t>
  </si>
  <si>
    <t>2.36</t>
  </si>
  <si>
    <t>Шпатлевка Alinex «FINISH P» 25кг</t>
  </si>
  <si>
    <t>Уточнить цвет</t>
  </si>
  <si>
    <t>2.37</t>
  </si>
  <si>
    <t>Шпатлевка «Alinex Glatt» 25кг</t>
  </si>
  <si>
    <t>Шпаклевка всех стен  25%, слой 10 мм</t>
  </si>
  <si>
    <t>2.38</t>
  </si>
  <si>
    <t>Шпаклевка всех потолков 25%, слой 10 мм</t>
  </si>
  <si>
    <t>2.39</t>
  </si>
  <si>
    <t>Ламинат</t>
  </si>
  <si>
    <t>2.40</t>
  </si>
  <si>
    <t>2.41</t>
  </si>
  <si>
    <t>2.42</t>
  </si>
  <si>
    <t xml:space="preserve">Половой плинтус МДФ </t>
  </si>
  <si>
    <t>2.43</t>
  </si>
  <si>
    <t>Натяжной потолок</t>
  </si>
  <si>
    <t>2.44</t>
  </si>
  <si>
    <t>Окно пластиковое: 5-ти камерный профиль, тройное остекление, нижние заполнение "Ламбер" (1500х1500)</t>
  </si>
  <si>
    <t>образец согласовать с Заказчиком. С одним сложным открыванием.</t>
  </si>
  <si>
    <t>16910 с/м2</t>
  </si>
  <si>
    <t>12000 сом/м2</t>
  </si>
  <si>
    <t>2.45</t>
  </si>
  <si>
    <t>Окно пластиковое: 5-ти камерный профиль, тройное остекление, нижние заполнение "Ламбер" (1500х800)</t>
  </si>
  <si>
    <t>2.46</t>
  </si>
  <si>
    <t>Окно пластиковое: 5-ти камерный профиль, тройное остекление, нижние заполнение "Ламбер" (500х1850)</t>
  </si>
  <si>
    <t>2.47</t>
  </si>
  <si>
    <t>Окно пластиковое: 5-ти камерный профиль, тройное остекление, нижние заполнение "Ламбер" (1500х500)</t>
  </si>
  <si>
    <t>2.48</t>
  </si>
  <si>
    <t>Внутренний матовый подокнник - пластиковый. п.м./шт</t>
  </si>
  <si>
    <t>Требуется уточнить ширину</t>
  </si>
  <si>
    <t>2.49</t>
  </si>
  <si>
    <t>2.50</t>
  </si>
  <si>
    <t>Наружный подоконик/отлив - металлический оцинкованный толщтной 0,7 мм</t>
  </si>
  <si>
    <t>2.51</t>
  </si>
  <si>
    <t>Дверь пластиковая, остекленная, с остеклением, из рефленного стекла в лестничных клетках с ручкой, замком и ключами (лазерный 5 ключей). (2400х1200)</t>
  </si>
  <si>
    <t xml:space="preserve"> согласовать с Заказчиком</t>
  </si>
  <si>
    <t>18690 с/м2</t>
  </si>
  <si>
    <t>15000 сом/м2</t>
  </si>
  <si>
    <t>2.52</t>
  </si>
  <si>
    <t>Дверь деревянная МДФ глухая,  в спальных комнатах. (Образцы дверей , ручек с замками (2100х900)</t>
  </si>
  <si>
    <t>2.53</t>
  </si>
  <si>
    <t>Дверь деревянная МДФ глухая. (Образцы дверей , ручек с замками (2100х900)</t>
  </si>
  <si>
    <t>2.54</t>
  </si>
  <si>
    <t>Дверь м/платиковая с остеклением, из рефленного стекла в лестничных клетках с ручкой, замком и ключами (лазерный 5 ключей) (2100х900)</t>
  </si>
  <si>
    <t>2.55</t>
  </si>
  <si>
    <t>Дверь м/платиковая  ,балконных, с остеклением.(2300х700)</t>
  </si>
  <si>
    <t>2.56</t>
  </si>
  <si>
    <t>Межкомнатные дверные блоки МДФ</t>
  </si>
  <si>
    <t>2.57</t>
  </si>
  <si>
    <t>Брус 50*100</t>
  </si>
  <si>
    <t>2.58</t>
  </si>
  <si>
    <t xml:space="preserve">Дверные доводчики </t>
  </si>
  <si>
    <t>2.59</t>
  </si>
  <si>
    <t>2.60</t>
  </si>
  <si>
    <t>2.61</t>
  </si>
  <si>
    <t>комплект</t>
  </si>
  <si>
    <t>2.62</t>
  </si>
  <si>
    <t>Металлопластиковые перегородки для душевых
кабинках (заполнение "ламбер") с дверьми</t>
  </si>
  <si>
    <t>2.63</t>
  </si>
  <si>
    <t>Металлопластиковые двери с/узлов с решеткой
вентиляции (2,1*0,9)</t>
  </si>
  <si>
    <t>2.64</t>
  </si>
  <si>
    <t>Металлопластиковые перегородки с дверью в
корридоре с рифленым стеклом</t>
  </si>
  <si>
    <t>Какое количество с размерами</t>
  </si>
  <si>
    <t>2.65</t>
  </si>
  <si>
    <t>Козырьки входных групп по с покрытием из металлических профилированных листов</t>
  </si>
  <si>
    <t>2.66</t>
  </si>
  <si>
    <t>Плитка керамогранит для наружных работ антискользящий</t>
  </si>
  <si>
    <t>2.67</t>
  </si>
  <si>
    <t>Короба (для с/узл) вентил, канализ</t>
  </si>
  <si>
    <t>2.68</t>
  </si>
  <si>
    <t>Унитаз</t>
  </si>
  <si>
    <t>2.77</t>
  </si>
  <si>
    <t>Труба НПВХ 110х3.2 SDR 34 SN8 ГОСТ 32413-2013</t>
  </si>
  <si>
    <t>2.78</t>
  </si>
  <si>
    <t>Поддон душевой</t>
  </si>
  <si>
    <t>2.80</t>
  </si>
  <si>
    <t>Штора душевая</t>
  </si>
  <si>
    <t>2.81</t>
  </si>
  <si>
    <t>Смеситель для душа</t>
  </si>
  <si>
    <t>2.83</t>
  </si>
  <si>
    <t>Кабина душевая Warma серия B01</t>
  </si>
  <si>
    <t>2.85</t>
  </si>
  <si>
    <t>Раковина с пьедесталом</t>
  </si>
  <si>
    <t>Уточнить Количество?</t>
  </si>
  <si>
    <t>2.86</t>
  </si>
  <si>
    <t>Смеситель для раковины</t>
  </si>
  <si>
    <t>2.91</t>
  </si>
  <si>
    <t>Труба ПВХ канализационная 50х3.2 ТУ 6-19-307-86</t>
  </si>
  <si>
    <t>2.92</t>
  </si>
  <si>
    <t>Тройник полимерный сантехнический 25х20х25</t>
  </si>
  <si>
    <t>2.93</t>
  </si>
  <si>
    <t>Труба полимерная сантехническая Ø25</t>
  </si>
  <si>
    <t>Требуется уточнить по месту</t>
  </si>
  <si>
    <t>2.94</t>
  </si>
  <si>
    <t>Труба полимерная сантехническая Ø20</t>
  </si>
  <si>
    <t>2.95</t>
  </si>
  <si>
    <t>Клипса пластиковая для трубы Ø25</t>
  </si>
  <si>
    <t>2.96</t>
  </si>
  <si>
    <t>Клипса пластиковая для трубы Ø20</t>
  </si>
  <si>
    <t>Уточнить по месту!</t>
  </si>
  <si>
    <t>2.97</t>
  </si>
  <si>
    <t>Вентиль полимерный сантехнический Ø25</t>
  </si>
  <si>
    <t>2.98</t>
  </si>
  <si>
    <t>Труба полипропиленовая РN10 ø20 ГОСТ 32415-2013</t>
  </si>
  <si>
    <t>2.99</t>
  </si>
  <si>
    <t>Труба полипропиленовая РN10 ø25 ГОСТ 32415-2013</t>
  </si>
  <si>
    <t>2.100</t>
  </si>
  <si>
    <t>Труба полипропиленовая РN10 ø32 ГОСТ 32415-2013</t>
  </si>
  <si>
    <t>2.101</t>
  </si>
  <si>
    <t>Труба полипропиленовая РN10 ø50 ГОСТ 32415-2013</t>
  </si>
  <si>
    <t>2.102</t>
  </si>
  <si>
    <t>Кранов шаровых  ø20  латунных с наружными резьбами с двухсторон, рукоятка "Бабочка" перед сан приборами для холодной и горячей воды VALTEC</t>
  </si>
  <si>
    <t>2.103</t>
  </si>
  <si>
    <t>КРАН PPR С ЛАТУННОЙ ОБОЙМОЙ VALTEC ø32 перед входом в сан узел для холодной и горячей воды</t>
  </si>
  <si>
    <t>2.104</t>
  </si>
  <si>
    <t>КРАН PPR VALTEC ø50 начало водопровода</t>
  </si>
  <si>
    <t>2.105</t>
  </si>
  <si>
    <t>ПЛАНКА С ВОДОРАЗЕТКАМИ ВНУТР. РЕЗЬБА 20Х1/2" для душевых, раковин VALTEC</t>
  </si>
  <si>
    <t>2.106</t>
  </si>
  <si>
    <t>ВОДОРОЗЕТКА С ВНУТРЕННЕЙ РЕЗЬБОЙ 20Х1/2 для унитазов VALTEC</t>
  </si>
  <si>
    <t>2.107</t>
  </si>
  <si>
    <t xml:space="preserve">Подводка гибкая к смывному бачку и электрообогревателям  L=0,5 м </t>
  </si>
  <si>
    <t>2.108</t>
  </si>
  <si>
    <t>Грунт-эмаль антикоррозионная 3 в 1 СТ РК ГОСТ Р 51691-2003</t>
  </si>
  <si>
    <t>2 слоя</t>
  </si>
  <si>
    <t>2.109</t>
  </si>
  <si>
    <t>Вешалка напольная</t>
  </si>
  <si>
    <t>Требуется уточнить необходимость!</t>
  </si>
  <si>
    <t>2.110</t>
  </si>
  <si>
    <t>Комплект монтажный для радиатора центрального отопления</t>
  </si>
  <si>
    <t>2.113</t>
  </si>
  <si>
    <t>Розетка штепсельная бытовая (наружняя)</t>
  </si>
  <si>
    <t>2.114</t>
  </si>
  <si>
    <t>Выключатель двухклавишный открытой установки ВС20-2-0-ФСр IP54 EVS20-K03-10-54-DC</t>
  </si>
  <si>
    <t>2.115</t>
  </si>
  <si>
    <t>Переключатель однополюсный одноклавишный настенный DIS1375212</t>
  </si>
  <si>
    <t>2.116</t>
  </si>
  <si>
    <t>Светильник потолочный "Армстронг" Smartbuy-48W/6500K SBL-uni-48W-6500K (в компелкте блок питания)</t>
  </si>
  <si>
    <t>Габаритные размеры светильника (без выносных элементов), мм: 595х595х19 мм</t>
  </si>
  <si>
    <t>2.117</t>
  </si>
  <si>
    <t>Накладной светодиодный офисный светильник Армстронг 36 вт. 400 мм х 400мм (в комплекте с блоком питания)</t>
  </si>
  <si>
    <t>2.118</t>
  </si>
  <si>
    <t>СВЕТИЛЬНИК LED IP65 18ВТ ОВАЛ</t>
  </si>
  <si>
    <t>2.119</t>
  </si>
  <si>
    <t>Кабель с медными жилами ВВГнгLS-3х2,5мм в
штробе</t>
  </si>
  <si>
    <t>Требуется уточнить длину!</t>
  </si>
  <si>
    <t>2.120</t>
  </si>
  <si>
    <t>Кабель с медными жилами ВВГнгLS-3х1,5мм</t>
  </si>
  <si>
    <t>Вентиляция</t>
  </si>
  <si>
    <t>2.121</t>
  </si>
  <si>
    <t>Вентилятор ANTEY 150 250х250</t>
  </si>
  <si>
    <t>2.122</t>
  </si>
  <si>
    <t>Стояк  (оцинк.t=0,7 мм )</t>
  </si>
  <si>
    <t>2.123</t>
  </si>
  <si>
    <t>Стояк (переход,поворот) ,вентиляционный (оцинк.t=0,7 мм )</t>
  </si>
  <si>
    <t>2.124</t>
  </si>
  <si>
    <t>Короб вытяжной вентиляции душевых</t>
  </si>
  <si>
    <t>2.125</t>
  </si>
  <si>
    <t>Шумоглушитель ГТК 125-600</t>
  </si>
  <si>
    <t>2.126</t>
  </si>
  <si>
    <t>Вентилятор канальный душевых</t>
  </si>
  <si>
    <t>2.127</t>
  </si>
  <si>
    <t>Клапан вентиляционный обратный Ø125 RSK-125</t>
  </si>
  <si>
    <t>2.128</t>
  </si>
  <si>
    <t>Автомат на вытяжную вентиляцию</t>
  </si>
  <si>
    <t>Требуется определить мощность!</t>
  </si>
  <si>
    <t>2.129</t>
  </si>
  <si>
    <t>Итого Стоимость Материалов (в сом):</t>
  </si>
  <si>
    <t>3.1</t>
  </si>
  <si>
    <t>Проезд рабочих</t>
  </si>
  <si>
    <t>рейс</t>
  </si>
  <si>
    <t>3.2</t>
  </si>
  <si>
    <t>Автоуслуги (доставка материалов)</t>
  </si>
  <si>
    <t>3.3</t>
  </si>
  <si>
    <t>Доставка песка, бетона</t>
  </si>
  <si>
    <t>Всего автоуслуг и механизмов</t>
  </si>
  <si>
    <t>Итого прямые затраты</t>
  </si>
  <si>
    <t>4.1</t>
  </si>
  <si>
    <t>Питание 15 чел на 25 дн</t>
  </si>
  <si>
    <t>чел /дн</t>
  </si>
  <si>
    <t>4.3</t>
  </si>
  <si>
    <t>Мед. справка</t>
  </si>
  <si>
    <t>чел.</t>
  </si>
  <si>
    <t>Накладные</t>
  </si>
  <si>
    <t>Плановые накопления</t>
  </si>
  <si>
    <t>Всего без налогов</t>
  </si>
  <si>
    <t>5.1</t>
  </si>
  <si>
    <t>Соц фонд на з/плату</t>
  </si>
  <si>
    <t>5.2</t>
  </si>
  <si>
    <t>НДС</t>
  </si>
  <si>
    <t>5.3</t>
  </si>
  <si>
    <t>НСП</t>
  </si>
  <si>
    <t>5.4</t>
  </si>
  <si>
    <t>Единый налог</t>
  </si>
  <si>
    <t>ИТОГО:</t>
  </si>
  <si>
    <t>Непредвиденные расходы</t>
  </si>
  <si>
    <t>Всего (в сом) с непредвиденными расходами:</t>
  </si>
  <si>
    <t>ФИО Руководителя</t>
  </si>
  <si>
    <t>подпись</t>
  </si>
  <si>
    <t>дата</t>
  </si>
  <si>
    <t>Ламэд</t>
  </si>
  <si>
    <t>https://masterkraska.kg/product/f21e5813-fd7e-11ee-abe8-000d3a14b280</t>
  </si>
  <si>
    <t>Unit/Ед.изм</t>
  </si>
  <si>
    <t>Q-ty/кол-во</t>
  </si>
  <si>
    <t>Unit rate (som) / Цена (сом)</t>
  </si>
  <si>
    <t>Cost (som) \ Стоимость (сом)</t>
  </si>
  <si>
    <t xml:space="preserve">Курс USD </t>
  </si>
  <si>
    <t>Cost (USD) / Стоимость в $ по курсу</t>
  </si>
  <si>
    <t>НДС, налог с продаж 0%</t>
  </si>
  <si>
    <t>VAT, sales tax 0%</t>
  </si>
  <si>
    <t xml:space="preserve">Плиточный цеменtonый клей для керамической плитки </t>
  </si>
  <si>
    <t xml:space="preserve">Краска масляная белая МА-15 0,8kg </t>
  </si>
  <si>
    <t xml:space="preserve">Грунтовка для стен и потолка </t>
  </si>
  <si>
    <t>Шпатлевка   25kg</t>
  </si>
  <si>
    <t>Шпатлевка  25kg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</si>
</sst>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_-* #,##0.00\ _₽_-;\-* #,##0.00\ _₽_-;_-* &quot;-&quot;??\ _₽_-;_-@_-"/>
    <numFmt numFmtId="165" formatCode="_-* #,##0.00\ &quot;$&quot;_-;\-* #,##0.00\ &quot;$&quot;_-;_-* &quot;-&quot;??\ &quot;$&quot;_-;_-@_-"/>
    <numFmt numFmtId="166" formatCode="_-* #,##0.00_-;\-* #,##0.00_-;_-* &quot;-&quot;??_-;_-@_-"/>
    <numFmt numFmtId="167" formatCode="_-* #,##0_-;\-* #,##0_-;_-* &quot;-&quot;??_-;_-@_-"/>
    <numFmt numFmtId="168" formatCode="_-* #,##0.00_р_._-;\-* #,##0.00_р_._-;_-* &quot;-&quot;??_р_._-;_-@_-"/>
    <numFmt numFmtId="169" formatCode="_-* #,##0_р_._-;\-* #,##0_р_._-;_-* &quot;-&quot;??_р_._-;_-@_-"/>
    <numFmt numFmtId="170" formatCode="0.0"/>
    <numFmt numFmtId="171" formatCode="0.0000"/>
  </numFmts>
  <fonts count="2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204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0DD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5" fontId="17" fillId="0" borderId="0" applyFont="0" applyFill="0" applyBorder="0" applyAlignment="0" applyProtection="0"/>
  </cellStyleXfs>
  <cellXfs count="253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right" vertical="center" wrapText="1"/>
    </xf>
    <xf numFmtId="167" fontId="3" fillId="0" borderId="1" xfId="0" applyNumberFormat="1" applyFont="1" applyBorder="1" applyAlignment="1">
      <alignment horizontal="right" vertical="center" wrapText="1"/>
    </xf>
    <xf numFmtId="166" fontId="4" fillId="0" borderId="1" xfId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4" borderId="8" xfId="0" applyFont="1" applyFill="1" applyBorder="1" applyAlignment="1">
      <alignment vertical="top" wrapText="1"/>
    </xf>
    <xf numFmtId="166" fontId="4" fillId="0" borderId="7" xfId="1" applyFont="1" applyBorder="1" applyAlignment="1">
      <alignment horizontal="right" vertical="center"/>
    </xf>
    <xf numFmtId="166" fontId="4" fillId="0" borderId="1" xfId="1" applyFont="1" applyBorder="1" applyAlignment="1">
      <alignment horizontal="right" vertical="top"/>
    </xf>
    <xf numFmtId="166" fontId="3" fillId="0" borderId="1" xfId="1" applyFont="1" applyBorder="1" applyAlignment="1">
      <alignment horizontal="right" vertical="center"/>
    </xf>
    <xf numFmtId="166" fontId="4" fillId="0" borderId="5" xfId="1" applyFont="1" applyBorder="1" applyAlignment="1">
      <alignment horizontal="right" vertical="center"/>
    </xf>
    <xf numFmtId="166" fontId="3" fillId="0" borderId="1" xfId="1" applyFont="1" applyBorder="1" applyAlignment="1">
      <alignment horizontal="left" vertical="center"/>
    </xf>
    <xf numFmtId="166" fontId="3" fillId="2" borderId="8" xfId="1" applyFont="1" applyFill="1" applyBorder="1" applyAlignment="1">
      <alignment vertical="center"/>
    </xf>
    <xf numFmtId="166" fontId="4" fillId="0" borderId="1" xfId="1" applyFont="1" applyBorder="1" applyAlignment="1">
      <alignment horizontal="left" vertical="center"/>
    </xf>
    <xf numFmtId="166" fontId="3" fillId="2" borderId="1" xfId="1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top"/>
    </xf>
    <xf numFmtId="49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6" fontId="4" fillId="3" borderId="1" xfId="1" applyFont="1" applyFill="1" applyBorder="1" applyAlignment="1">
      <alignment horizontal="center" vertical="center" shrinkToFit="1"/>
    </xf>
    <xf numFmtId="166" fontId="4" fillId="3" borderId="1" xfId="1" applyFont="1" applyFill="1" applyBorder="1" applyAlignment="1">
      <alignment horizontal="center" vertical="center"/>
    </xf>
    <xf numFmtId="166" fontId="4" fillId="3" borderId="1" xfId="1" applyFont="1" applyFill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166" fontId="4" fillId="3" borderId="1" xfId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top" wrapText="1"/>
    </xf>
    <xf numFmtId="166" fontId="4" fillId="3" borderId="5" xfId="1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center" vertical="center"/>
    </xf>
    <xf numFmtId="166" fontId="4" fillId="0" borderId="8" xfId="1" applyFont="1" applyBorder="1" applyAlignment="1">
      <alignment vertical="center"/>
    </xf>
    <xf numFmtId="166" fontId="4" fillId="0" borderId="8" xfId="1" applyFont="1" applyFill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3" borderId="8" xfId="0" applyFont="1" applyFill="1" applyBorder="1" applyAlignment="1">
      <alignment vertical="center" wrapText="1"/>
    </xf>
    <xf numFmtId="166" fontId="4" fillId="0" borderId="8" xfId="1" applyFont="1" applyBorder="1" applyAlignment="1">
      <alignment horizontal="center" vertical="center"/>
    </xf>
    <xf numFmtId="166" fontId="3" fillId="4" borderId="8" xfId="1" applyFont="1" applyFill="1" applyBorder="1" applyAlignment="1">
      <alignment vertical="center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166" fontId="4" fillId="0" borderId="1" xfId="1" applyFont="1" applyBorder="1" applyAlignment="1">
      <alignment horizontal="right" vertical="center" shrinkToFit="1"/>
    </xf>
    <xf numFmtId="166" fontId="4" fillId="0" borderId="1" xfId="1" applyFont="1" applyBorder="1" applyAlignment="1">
      <alignment horizontal="center" vertical="center"/>
    </xf>
    <xf numFmtId="166" fontId="4" fillId="2" borderId="1" xfId="1" applyFont="1" applyFill="1" applyBorder="1" applyAlignment="1">
      <alignment horizontal="left" vertical="center"/>
    </xf>
    <xf numFmtId="166" fontId="4" fillId="2" borderId="1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166" fontId="3" fillId="0" borderId="0" xfId="1" applyFont="1" applyAlignment="1">
      <alignment horizontal="left" vertical="center"/>
    </xf>
    <xf numFmtId="167" fontId="4" fillId="2" borderId="1" xfId="1" applyNumberFormat="1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wrapText="1"/>
    </xf>
    <xf numFmtId="166" fontId="4" fillId="0" borderId="8" xfId="1" applyFont="1" applyBorder="1" applyAlignment="1">
      <alignment horizontal="right" vertical="top" shrinkToFit="1"/>
    </xf>
    <xf numFmtId="166" fontId="4" fillId="0" borderId="8" xfId="1" applyFont="1" applyBorder="1" applyAlignment="1">
      <alignment horizontal="left"/>
    </xf>
    <xf numFmtId="0" fontId="4" fillId="4" borderId="17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wrapText="1"/>
    </xf>
    <xf numFmtId="166" fontId="4" fillId="4" borderId="8" xfId="1" applyFont="1" applyFill="1" applyBorder="1" applyAlignment="1">
      <alignment horizontal="left"/>
    </xf>
    <xf numFmtId="166" fontId="3" fillId="4" borderId="8" xfId="1" applyFont="1" applyFill="1" applyBorder="1" applyAlignment="1">
      <alignment horizontal="left"/>
    </xf>
    <xf numFmtId="166" fontId="4" fillId="0" borderId="1" xfId="1" applyFont="1" applyBorder="1" applyAlignment="1">
      <alignment horizontal="center" vertical="top" shrinkToFit="1"/>
    </xf>
    <xf numFmtId="166" fontId="4" fillId="0" borderId="8" xfId="1" applyFont="1" applyBorder="1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166" fontId="4" fillId="0" borderId="8" xfId="1" applyFont="1" applyBorder="1" applyAlignment="1">
      <alignment horizontal="left" vertical="center"/>
    </xf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center" vertical="center" wrapText="1"/>
    </xf>
    <xf numFmtId="166" fontId="4" fillId="4" borderId="8" xfId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top" wrapText="1"/>
    </xf>
    <xf numFmtId="166" fontId="4" fillId="3" borderId="8" xfId="1" applyFont="1" applyFill="1" applyBorder="1" applyAlignment="1">
      <alignment vertical="center"/>
    </xf>
    <xf numFmtId="166" fontId="4" fillId="3" borderId="1" xfId="1" applyFont="1" applyFill="1" applyBorder="1" applyAlignment="1">
      <alignment horizontal="center" vertical="top" shrinkToFit="1"/>
    </xf>
    <xf numFmtId="0" fontId="4" fillId="4" borderId="2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vertical="top" wrapText="1"/>
    </xf>
    <xf numFmtId="166" fontId="4" fillId="4" borderId="8" xfId="1" applyFont="1" applyFill="1" applyBorder="1" applyAlignment="1">
      <alignment vertical="top"/>
    </xf>
    <xf numFmtId="166" fontId="3" fillId="4" borderId="8" xfId="1" applyFont="1" applyFill="1" applyBorder="1" applyAlignment="1">
      <alignment vertical="top"/>
    </xf>
    <xf numFmtId="166" fontId="4" fillId="0" borderId="7" xfId="1" applyFont="1" applyBorder="1" applyAlignment="1">
      <alignment horizontal="left"/>
    </xf>
    <xf numFmtId="166" fontId="4" fillId="0" borderId="1" xfId="1" applyFont="1" applyBorder="1" applyAlignment="1">
      <alignment horizontal="left"/>
    </xf>
    <xf numFmtId="167" fontId="4" fillId="0" borderId="1" xfId="1" applyNumberFormat="1" applyFont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shrinkToFit="1"/>
    </xf>
    <xf numFmtId="10" fontId="4" fillId="0" borderId="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9" fontId="4" fillId="0" borderId="0" xfId="1" applyNumberFormat="1" applyFont="1" applyAlignment="1" applyProtection="1">
      <alignment horizontal="center"/>
    </xf>
    <xf numFmtId="3" fontId="4" fillId="0" borderId="0" xfId="0" applyNumberFormat="1" applyFont="1" applyAlignment="1">
      <alignment horizontal="center" wrapText="1"/>
    </xf>
    <xf numFmtId="168" fontId="4" fillId="0" borderId="0" xfId="0" applyNumberFormat="1" applyFont="1" applyAlignment="1">
      <alignment horizontal="left"/>
    </xf>
    <xf numFmtId="169" fontId="4" fillId="0" borderId="0" xfId="0" applyNumberFormat="1" applyFont="1" applyAlignment="1">
      <alignment horizontal="center"/>
    </xf>
    <xf numFmtId="3" fontId="3" fillId="0" borderId="13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168" fontId="4" fillId="0" borderId="13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 wrapText="1"/>
    </xf>
    <xf numFmtId="0" fontId="10" fillId="3" borderId="8" xfId="0" applyFont="1" applyFill="1" applyBorder="1" applyAlignment="1">
      <alignment wrapText="1"/>
    </xf>
    <xf numFmtId="166" fontId="10" fillId="3" borderId="8" xfId="1" applyFont="1" applyFill="1" applyBorder="1" applyAlignment="1">
      <alignment vertical="center"/>
    </xf>
    <xf numFmtId="166" fontId="10" fillId="3" borderId="16" xfId="1" applyFont="1" applyFill="1" applyBorder="1" applyAlignment="1">
      <alignment vertical="center"/>
    </xf>
    <xf numFmtId="0" fontId="4" fillId="3" borderId="8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/>
    </xf>
    <xf numFmtId="167" fontId="4" fillId="3" borderId="8" xfId="1" applyNumberFormat="1" applyFont="1" applyFill="1" applyBorder="1" applyAlignment="1">
      <alignment vertical="center"/>
    </xf>
    <xf numFmtId="166" fontId="4" fillId="3" borderId="16" xfId="1" applyFont="1" applyFill="1" applyBorder="1" applyAlignment="1">
      <alignment vertical="center"/>
    </xf>
    <xf numFmtId="166" fontId="4" fillId="0" borderId="1" xfId="1" applyFont="1" applyBorder="1" applyAlignment="1">
      <alignment horizontal="center" vertical="center" shrinkToFit="1"/>
    </xf>
    <xf numFmtId="0" fontId="6" fillId="0" borderId="8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top"/>
    </xf>
    <xf numFmtId="49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top"/>
    </xf>
    <xf numFmtId="0" fontId="16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6" fontId="16" fillId="0" borderId="1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6" fontId="16" fillId="0" borderId="1" xfId="1" applyFont="1" applyBorder="1" applyAlignment="1">
      <alignment horizontal="center" vertical="center"/>
    </xf>
    <xf numFmtId="0" fontId="1" fillId="0" borderId="0" xfId="2" applyAlignment="1">
      <alignment horizontal="left" vertical="top"/>
    </xf>
    <xf numFmtId="1" fontId="4" fillId="3" borderId="8" xfId="2" applyNumberFormat="1" applyFont="1" applyFill="1" applyBorder="1" applyAlignment="1">
      <alignment horizontal="left" vertical="center" wrapText="1"/>
    </xf>
    <xf numFmtId="1" fontId="4" fillId="3" borderId="8" xfId="2" applyNumberFormat="1" applyFont="1" applyFill="1" applyBorder="1" applyAlignment="1">
      <alignment horizontal="left" vertical="center"/>
    </xf>
    <xf numFmtId="1" fontId="4" fillId="0" borderId="8" xfId="2" applyNumberFormat="1" applyFont="1" applyBorder="1" applyAlignment="1">
      <alignment horizontal="left" vertical="center" wrapText="1"/>
    </xf>
    <xf numFmtId="1" fontId="0" fillId="0" borderId="8" xfId="0" applyNumberFormat="1" applyBorder="1" applyAlignment="1">
      <alignment horizontal="left"/>
    </xf>
    <xf numFmtId="1" fontId="1" fillId="0" borderId="0" xfId="2" applyNumberFormat="1" applyAlignment="1">
      <alignment horizontal="left" vertical="center"/>
    </xf>
    <xf numFmtId="1" fontId="3" fillId="0" borderId="0" xfId="2" applyNumberFormat="1" applyFont="1" applyAlignment="1">
      <alignment horizontal="center" vertical="top" wrapText="1"/>
    </xf>
    <xf numFmtId="1" fontId="4" fillId="0" borderId="8" xfId="2" applyNumberFormat="1" applyFont="1" applyBorder="1" applyAlignment="1">
      <alignment horizontal="left" vertical="center"/>
    </xf>
    <xf numFmtId="1" fontId="3" fillId="0" borderId="8" xfId="2" applyNumberFormat="1" applyFont="1" applyBorder="1" applyAlignment="1">
      <alignment horizontal="left" vertical="center" wrapText="1"/>
    </xf>
    <xf numFmtId="1" fontId="4" fillId="6" borderId="8" xfId="2" applyNumberFormat="1" applyFont="1" applyFill="1" applyBorder="1" applyAlignment="1">
      <alignment horizontal="left" vertical="center" wrapText="1"/>
    </xf>
    <xf numFmtId="1" fontId="3" fillId="6" borderId="8" xfId="2" applyNumberFormat="1" applyFont="1" applyFill="1" applyBorder="1" applyAlignment="1">
      <alignment horizontal="left" vertical="center" wrapText="1"/>
    </xf>
    <xf numFmtId="1" fontId="3" fillId="7" borderId="8" xfId="2" applyNumberFormat="1" applyFont="1" applyFill="1" applyBorder="1" applyAlignment="1">
      <alignment horizontal="left" vertical="center" wrapText="1"/>
    </xf>
    <xf numFmtId="1" fontId="4" fillId="7" borderId="8" xfId="2" applyNumberFormat="1" applyFont="1" applyFill="1" applyBorder="1" applyAlignment="1">
      <alignment horizontal="left" vertical="center" wrapText="1"/>
    </xf>
    <xf numFmtId="170" fontId="4" fillId="7" borderId="8" xfId="3" applyNumberFormat="1" applyFont="1" applyFill="1" applyBorder="1" applyAlignment="1">
      <alignment horizontal="right" vertical="center"/>
    </xf>
    <xf numFmtId="170" fontId="4" fillId="7" borderId="8" xfId="2" applyNumberFormat="1" applyFont="1" applyFill="1" applyBorder="1" applyAlignment="1">
      <alignment horizontal="right" vertical="center" wrapText="1"/>
    </xf>
    <xf numFmtId="1" fontId="3" fillId="2" borderId="8" xfId="2" applyNumberFormat="1" applyFont="1" applyFill="1" applyBorder="1" applyAlignment="1">
      <alignment horizontal="right" vertical="center" wrapText="1"/>
    </xf>
    <xf numFmtId="170" fontId="1" fillId="0" borderId="0" xfId="2" applyNumberFormat="1" applyAlignment="1">
      <alignment horizontal="right" vertical="top"/>
    </xf>
    <xf numFmtId="1" fontId="1" fillId="0" borderId="8" xfId="2" applyNumberFormat="1" applyBorder="1" applyAlignment="1">
      <alignment horizontal="left" vertical="center"/>
    </xf>
    <xf numFmtId="1" fontId="3" fillId="0" borderId="0" xfId="2" applyNumberFormat="1" applyFont="1" applyAlignment="1">
      <alignment horizontal="right" vertical="top" wrapText="1"/>
    </xf>
    <xf numFmtId="0" fontId="1" fillId="0" borderId="0" xfId="2" applyAlignment="1">
      <alignment horizontal="right" vertical="top"/>
    </xf>
    <xf numFmtId="0" fontId="1" fillId="0" borderId="8" xfId="2" applyBorder="1" applyAlignment="1">
      <alignment horizontal="right" vertical="top"/>
    </xf>
    <xf numFmtId="0" fontId="1" fillId="6" borderId="8" xfId="2" applyFill="1" applyBorder="1" applyAlignment="1">
      <alignment horizontal="right" vertical="top"/>
    </xf>
    <xf numFmtId="1" fontId="1" fillId="0" borderId="8" xfId="2" applyNumberFormat="1" applyBorder="1" applyAlignment="1">
      <alignment horizontal="right" vertical="top"/>
    </xf>
    <xf numFmtId="1" fontId="3" fillId="8" borderId="8" xfId="2" applyNumberFormat="1" applyFont="1" applyFill="1" applyBorder="1" applyAlignment="1">
      <alignment horizontal="left" vertical="center" wrapText="1"/>
    </xf>
    <xf numFmtId="1" fontId="4" fillId="8" borderId="8" xfId="2" applyNumberFormat="1" applyFont="1" applyFill="1" applyBorder="1" applyAlignment="1">
      <alignment horizontal="left" vertical="center" wrapText="1"/>
    </xf>
    <xf numFmtId="0" fontId="1" fillId="8" borderId="8" xfId="2" applyFill="1" applyBorder="1" applyAlignment="1">
      <alignment horizontal="right" vertical="top"/>
    </xf>
    <xf numFmtId="1" fontId="18" fillId="8" borderId="8" xfId="2" applyNumberFormat="1" applyFont="1" applyFill="1" applyBorder="1" applyAlignment="1">
      <alignment horizontal="right" vertical="top"/>
    </xf>
    <xf numFmtId="1" fontId="18" fillId="8" borderId="8" xfId="2" applyNumberFormat="1" applyFont="1" applyFill="1" applyBorder="1" applyAlignment="1">
      <alignment horizontal="left" vertical="center"/>
    </xf>
    <xf numFmtId="0" fontId="18" fillId="8" borderId="8" xfId="2" applyFont="1" applyFill="1" applyBorder="1" applyAlignment="1">
      <alignment horizontal="right" vertical="top"/>
    </xf>
    <xf numFmtId="165" fontId="1" fillId="0" borderId="8" xfId="4" applyFont="1" applyBorder="1" applyAlignment="1">
      <alignment horizontal="right" vertical="top"/>
    </xf>
    <xf numFmtId="165" fontId="1" fillId="6" borderId="8" xfId="4" applyFont="1" applyFill="1" applyBorder="1" applyAlignment="1">
      <alignment horizontal="right" vertical="top"/>
    </xf>
    <xf numFmtId="165" fontId="18" fillId="8" borderId="8" xfId="4" applyFont="1" applyFill="1" applyBorder="1" applyAlignment="1">
      <alignment horizontal="right" vertical="top"/>
    </xf>
    <xf numFmtId="165" fontId="4" fillId="7" borderId="8" xfId="4" applyFont="1" applyFill="1" applyBorder="1" applyAlignment="1">
      <alignment horizontal="right" vertical="center" wrapText="1"/>
    </xf>
    <xf numFmtId="165" fontId="4" fillId="7" borderId="8" xfId="4" applyFont="1" applyFill="1" applyBorder="1" applyAlignment="1">
      <alignment horizontal="right" vertical="center"/>
    </xf>
    <xf numFmtId="1" fontId="18" fillId="9" borderId="8" xfId="2" applyNumberFormat="1" applyFont="1" applyFill="1" applyBorder="1" applyAlignment="1">
      <alignment horizontal="left" vertical="center"/>
    </xf>
    <xf numFmtId="0" fontId="18" fillId="9" borderId="8" xfId="2" applyFont="1" applyFill="1" applyBorder="1" applyAlignment="1">
      <alignment horizontal="right" vertical="top"/>
    </xf>
    <xf numFmtId="1" fontId="18" fillId="9" borderId="8" xfId="2" applyNumberFormat="1" applyFont="1" applyFill="1" applyBorder="1" applyAlignment="1">
      <alignment horizontal="right" vertical="top"/>
    </xf>
    <xf numFmtId="165" fontId="18" fillId="9" borderId="8" xfId="4" applyFont="1" applyFill="1" applyBorder="1" applyAlignment="1">
      <alignment horizontal="right" vertical="top"/>
    </xf>
    <xf numFmtId="44" fontId="1" fillId="0" borderId="0" xfId="2" applyNumberFormat="1" applyAlignment="1">
      <alignment horizontal="left" vertical="top"/>
    </xf>
    <xf numFmtId="1" fontId="3" fillId="0" borderId="0" xfId="2" applyNumberFormat="1" applyFont="1" applyAlignment="1">
      <alignment horizontal="center" vertical="center" wrapText="1"/>
    </xf>
    <xf numFmtId="170" fontId="3" fillId="0" borderId="0" xfId="2" applyNumberFormat="1" applyFont="1" applyAlignment="1">
      <alignment horizontal="center" vertical="center" wrapText="1"/>
    </xf>
    <xf numFmtId="1" fontId="3" fillId="2" borderId="8" xfId="2" applyNumberFormat="1" applyFont="1" applyFill="1" applyBorder="1" applyAlignment="1">
      <alignment horizontal="center" vertical="center" wrapText="1"/>
    </xf>
    <xf numFmtId="170" fontId="3" fillId="2" borderId="8" xfId="2" applyNumberFormat="1" applyFont="1" applyFill="1" applyBorder="1" applyAlignment="1">
      <alignment horizontal="center" vertical="center" wrapText="1"/>
    </xf>
    <xf numFmtId="0" fontId="20" fillId="0" borderId="0" xfId="2" applyFont="1" applyAlignment="1">
      <alignment horizontal="left" vertical="top"/>
    </xf>
    <xf numFmtId="1" fontId="21" fillId="6" borderId="8" xfId="2" applyNumberFormat="1" applyFont="1" applyFill="1" applyBorder="1" applyAlignment="1">
      <alignment horizontal="left" vertical="center" wrapText="1"/>
    </xf>
    <xf numFmtId="0" fontId="20" fillId="6" borderId="8" xfId="2" applyFont="1" applyFill="1" applyBorder="1" applyAlignment="1">
      <alignment horizontal="right" vertical="top"/>
    </xf>
    <xf numFmtId="165" fontId="20" fillId="6" borderId="8" xfId="4" applyFont="1" applyFill="1" applyBorder="1" applyAlignment="1">
      <alignment horizontal="right" vertical="top"/>
    </xf>
    <xf numFmtId="170" fontId="4" fillId="0" borderId="8" xfId="3" applyNumberFormat="1" applyFont="1" applyBorder="1" applyAlignment="1">
      <alignment horizontal="center" vertical="center" shrinkToFit="1"/>
    </xf>
    <xf numFmtId="170" fontId="4" fillId="6" borderId="8" xfId="3" applyNumberFormat="1" applyFont="1" applyFill="1" applyBorder="1" applyAlignment="1">
      <alignment horizontal="center" vertical="center"/>
    </xf>
    <xf numFmtId="170" fontId="4" fillId="0" borderId="8" xfId="3" applyNumberFormat="1" applyFont="1" applyFill="1" applyBorder="1" applyAlignment="1">
      <alignment horizontal="center" vertical="center"/>
    </xf>
    <xf numFmtId="170" fontId="4" fillId="3" borderId="8" xfId="3" applyNumberFormat="1" applyFont="1" applyFill="1" applyBorder="1" applyAlignment="1">
      <alignment horizontal="center" vertical="center" shrinkToFit="1"/>
    </xf>
    <xf numFmtId="170" fontId="4" fillId="0" borderId="8" xfId="3" applyNumberFormat="1" applyFont="1" applyBorder="1" applyAlignment="1">
      <alignment horizontal="center" vertical="center"/>
    </xf>
    <xf numFmtId="171" fontId="4" fillId="0" borderId="8" xfId="3" applyNumberFormat="1" applyFont="1" applyBorder="1" applyAlignment="1">
      <alignment horizontal="center" vertical="center"/>
    </xf>
    <xf numFmtId="2" fontId="4" fillId="0" borderId="8" xfId="3" applyNumberFormat="1" applyFont="1" applyBorder="1" applyAlignment="1">
      <alignment horizontal="center" vertical="center"/>
    </xf>
    <xf numFmtId="170" fontId="4" fillId="8" borderId="8" xfId="3" applyNumberFormat="1" applyFont="1" applyFill="1" applyBorder="1" applyAlignment="1">
      <alignment horizontal="center" vertical="center"/>
    </xf>
    <xf numFmtId="170" fontId="1" fillId="0" borderId="8" xfId="2" applyNumberFormat="1" applyBorder="1" applyAlignment="1">
      <alignment horizontal="center" vertical="center"/>
    </xf>
    <xf numFmtId="170" fontId="4" fillId="7" borderId="8" xfId="2" applyNumberFormat="1" applyFont="1" applyFill="1" applyBorder="1" applyAlignment="1">
      <alignment horizontal="center" vertical="center" wrapText="1"/>
    </xf>
    <xf numFmtId="170" fontId="4" fillId="7" borderId="8" xfId="3" applyNumberFormat="1" applyFont="1" applyFill="1" applyBorder="1" applyAlignment="1">
      <alignment horizontal="center" vertical="center"/>
    </xf>
    <xf numFmtId="170" fontId="0" fillId="3" borderId="8" xfId="0" applyNumberFormat="1" applyFill="1" applyBorder="1" applyAlignment="1">
      <alignment horizontal="center"/>
    </xf>
    <xf numFmtId="170" fontId="4" fillId="0" borderId="8" xfId="2" applyNumberFormat="1" applyFont="1" applyBorder="1" applyAlignment="1">
      <alignment horizontal="center" vertical="center" wrapText="1"/>
    </xf>
    <xf numFmtId="170" fontId="21" fillId="6" borderId="8" xfId="2" applyNumberFormat="1" applyFont="1" applyFill="1" applyBorder="1" applyAlignment="1">
      <alignment horizontal="center" vertical="center" wrapText="1"/>
    </xf>
    <xf numFmtId="170" fontId="4" fillId="0" borderId="8" xfId="2" applyNumberFormat="1" applyFont="1" applyBorder="1" applyAlignment="1">
      <alignment horizontal="center" vertical="center"/>
    </xf>
    <xf numFmtId="2" fontId="1" fillId="0" borderId="8" xfId="2" applyNumberFormat="1" applyBorder="1" applyAlignment="1">
      <alignment horizontal="center" vertical="center"/>
    </xf>
    <xf numFmtId="170" fontId="18" fillId="8" borderId="8" xfId="2" applyNumberFormat="1" applyFont="1" applyFill="1" applyBorder="1" applyAlignment="1">
      <alignment horizontal="center" vertical="center"/>
    </xf>
    <xf numFmtId="170" fontId="18" fillId="9" borderId="8" xfId="2" applyNumberFormat="1" applyFont="1" applyFill="1" applyBorder="1" applyAlignment="1">
      <alignment horizontal="center" vertical="center"/>
    </xf>
    <xf numFmtId="170" fontId="1" fillId="0" borderId="0" xfId="2" applyNumberFormat="1" applyAlignment="1">
      <alignment horizontal="center" vertical="center"/>
    </xf>
    <xf numFmtId="0" fontId="1" fillId="10" borderId="8" xfId="2" applyFill="1" applyBorder="1" applyAlignment="1">
      <alignment horizontal="right" vertical="top"/>
    </xf>
    <xf numFmtId="170" fontId="4" fillId="10" borderId="8" xfId="3" applyNumberFormat="1" applyFont="1" applyFill="1" applyBorder="1" applyAlignment="1">
      <alignment horizontal="right" vertical="center"/>
    </xf>
    <xf numFmtId="170" fontId="4" fillId="10" borderId="8" xfId="2" applyNumberFormat="1" applyFont="1" applyFill="1" applyBorder="1" applyAlignment="1">
      <alignment horizontal="right" vertical="center" wrapText="1"/>
    </xf>
    <xf numFmtId="0" fontId="20" fillId="10" borderId="8" xfId="2" applyFont="1" applyFill="1" applyBorder="1" applyAlignment="1">
      <alignment horizontal="right" vertical="top"/>
    </xf>
    <xf numFmtId="1" fontId="3" fillId="10" borderId="8" xfId="2" applyNumberFormat="1" applyFont="1" applyFill="1" applyBorder="1" applyAlignment="1">
      <alignment horizontal="center" vertical="center" wrapText="1"/>
    </xf>
    <xf numFmtId="0" fontId="18" fillId="10" borderId="8" xfId="2" applyFont="1" applyFill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166" fontId="1" fillId="0" borderId="0" xfId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166" fontId="1" fillId="0" borderId="11" xfId="1" applyFont="1" applyBorder="1" applyAlignment="1">
      <alignment horizontal="left" vertical="top" wrapText="1"/>
    </xf>
    <xf numFmtId="1" fontId="3" fillId="0" borderId="0" xfId="2" applyNumberFormat="1" applyFont="1" applyAlignment="1">
      <alignment horizontal="center" vertical="top" wrapText="1"/>
    </xf>
    <xf numFmtId="1" fontId="3" fillId="0" borderId="0" xfId="2" applyNumberFormat="1" applyFont="1" applyAlignment="1">
      <alignment horizontal="center" vertical="top"/>
    </xf>
    <xf numFmtId="1" fontId="3" fillId="6" borderId="8" xfId="2" applyNumberFormat="1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top" wrapText="1"/>
    </xf>
    <xf numFmtId="0" fontId="1" fillId="6" borderId="16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2" fontId="3" fillId="5" borderId="0" xfId="0" applyNumberFormat="1" applyFont="1" applyFill="1" applyAlignment="1">
      <alignment horizontal="left" wrapText="1"/>
    </xf>
    <xf numFmtId="0" fontId="16" fillId="6" borderId="20" xfId="0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3" fillId="0" borderId="19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</cellXfs>
  <cellStyles count="5">
    <cellStyle name="Comma" xfId="1" builtinId="3"/>
    <cellStyle name="Currency" xfId="4" builtinId="4"/>
    <cellStyle name="Normal" xfId="0" builtinId="0"/>
    <cellStyle name="Обычный 8" xfId="2" xr:uid="{00000000-0005-0000-0000-000002000000}"/>
    <cellStyle name="Финансовый 6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cef-my.sharepoint.com/Users/&#1050;&#1086;&#1089;&#1090;&#1080;&#1085;/AppData/Local/Microsoft/Windows/INetCache/Content.Outlook/HGW2HFKO/20160219%20Shambesai%20Capital%20Cost%20%20-%20Major%20review%20of%20costs%20and%20schedule%20%20R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ownloads\&#1055;&#1088;&#1086;&#1094;&#1077;&#1076;&#1091;&#1088;&#1072;\&#1058;&#1080;&#1087;&#1086;&#1074;&#1086;&#1081;%20&#1076;&#1086;&#1075;&#1086;&#1074;&#1086;&#1088;\&#1051;&#1086;&#1090;%206_2_2_DSK_&#1056;&#1052;&#1052;\&#1057;&#1042;&#1054;&#1056;%20&#1055;&#1088;&#1080;&#1083;&#1086;&#1078;&#1077;&#1085;&#1080;&#1077;%201-1.%20&#1056;&#1052;&#1052;%20&#1041;&#1057;&#104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cef-my.sharepoint.com/Users/&#1050;&#1086;&#1089;&#1090;&#1080;&#1085;/Documents/&#1044;&#1078;&#1077;&#1088;&#1091;&#1081;/&#1054;&#1090;&#1095;&#1077;&#1090;&#1085;&#1086;&#1089;&#1090;&#1100;/&#1060;&#1080;&#1085;_&#1087;&#1083;&#1072;&#1085;/&#1041;&#1102;&#1076;&#1078;&#1077;&#1090;_2017/&#1041;&#1102;&#1076;&#1078;&#1077;&#1090;_Rev.2-2016-09-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1050;&#1086;&#1089;&#1090;&#1080;&#1085;\Documents\&#1044;&#1078;&#1077;&#1088;&#1091;&#1081;\&#1054;&#1090;&#1095;&#1077;&#1090;&#1085;&#1086;&#1089;&#1090;&#1100;\&#1060;&#1080;&#1085;_&#1087;&#1083;&#1072;&#1085;\&#1041;&#1102;&#1076;&#1078;&#1077;&#1090;_2017\&#1041;&#1102;&#1076;&#1078;&#1077;&#1090;_Rev.2-2016-09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Structur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. данные"/>
      <sheetName val="Сводка"/>
      <sheetName val="1. ВОР"/>
      <sheetName val="Лист1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 объектов ТЗРК"/>
      <sheetName val="Список лотов"/>
      <sheetName val="Подрядчики"/>
      <sheetName val="Все Лоты 1"/>
      <sheetName val="Стоим_по Лотам"/>
      <sheetName val="Стоим_по Лотам2"/>
      <sheetName val="График и сум.стоим"/>
      <sheetName val="Лот 0"/>
      <sheetName val="Лот 1"/>
      <sheetName val="Лот 2"/>
      <sheetName val="Лот 3"/>
      <sheetName val="Лот 4"/>
      <sheetName val="Лот 5"/>
      <sheetName val="Лот 6"/>
      <sheetName val="Лот 7"/>
      <sheetName val="Лот 8"/>
      <sheetName val="Лот 9"/>
      <sheetName val="Лот 10"/>
      <sheetName val="Лот 11"/>
      <sheetName val="Лот 12"/>
      <sheetName val="Лот 13"/>
      <sheetName val="Лот 14"/>
      <sheetName val="Лот 15"/>
      <sheetName val="Лот 16"/>
      <sheetName val="Бюджет_Rev.2-2016-09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 объектов ТЗРК"/>
      <sheetName val="Список лотов"/>
      <sheetName val="Подрядчики"/>
      <sheetName val="Все Лоты 1"/>
      <sheetName val="Стоим_по Лотам"/>
      <sheetName val="Стоим_по Лотам2"/>
      <sheetName val="График и сум.стоим"/>
      <sheetName val="Лот 0"/>
      <sheetName val="Лот 1"/>
      <sheetName val="Лот 2"/>
      <sheetName val="Лот 3"/>
      <sheetName val="Лот 4"/>
      <sheetName val="Лот 5"/>
      <sheetName val="Лот 6"/>
      <sheetName val="Лот 7"/>
      <sheetName val="Лот 8"/>
      <sheetName val="Лот 9"/>
      <sheetName val="Лот 10"/>
      <sheetName val="Лот 11"/>
      <sheetName val="Лот 12"/>
      <sheetName val="Лот 13"/>
      <sheetName val="Лот 14"/>
      <sheetName val="Лот 15"/>
      <sheetName val="Лот 16"/>
      <sheetName val="Бюджет_Rev.2-2016-09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outlinePr summaryBelow="0"/>
    <pageSetUpPr fitToPage="1"/>
  </sheetPr>
  <dimension ref="A1:M146"/>
  <sheetViews>
    <sheetView tabSelected="1" zoomScale="85" zoomScaleNormal="85" zoomScaleSheetLayoutView="100" workbookViewId="0">
      <selection activeCell="B22" sqref="B22"/>
    </sheetView>
  </sheetViews>
  <sheetFormatPr defaultColWidth="9.109375" defaultRowHeight="13.2" outlineLevelRow="2" x14ac:dyDescent="0.25"/>
  <cols>
    <col min="1" max="1" width="6.44140625" style="154" customWidth="1"/>
    <col min="2" max="2" width="63" style="154" customWidth="1"/>
    <col min="3" max="3" width="55.44140625" style="154" hidden="1" customWidth="1"/>
    <col min="4" max="4" width="13.77734375" style="154" customWidth="1"/>
    <col min="5" max="5" width="15.33203125" style="214" customWidth="1"/>
    <col min="6" max="6" width="13.77734375" style="168" customWidth="1"/>
    <col min="7" max="7" width="17.6640625" style="168" customWidth="1"/>
    <col min="8" max="8" width="20.109375" style="165" customWidth="1"/>
    <col min="9" max="9" width="11.109375" style="149" bestFit="1" customWidth="1"/>
    <col min="10" max="10" width="0" style="149" hidden="1" customWidth="1"/>
    <col min="11" max="11" width="13.77734375" style="168" hidden="1" customWidth="1"/>
    <col min="12" max="16384" width="9.109375" style="149"/>
  </cols>
  <sheetData>
    <row r="1" spans="1:11" ht="63.6" customHeight="1" x14ac:dyDescent="0.25">
      <c r="A1" s="225" t="s">
        <v>0</v>
      </c>
      <c r="B1" s="225"/>
      <c r="C1" s="225"/>
      <c r="D1" s="225"/>
      <c r="E1" s="225"/>
      <c r="F1" s="225"/>
      <c r="G1" s="225"/>
      <c r="H1" s="225"/>
      <c r="K1" s="149"/>
    </row>
    <row r="2" spans="1:11" ht="23.4" customHeight="1" x14ac:dyDescent="0.25">
      <c r="A2" s="155"/>
      <c r="B2" s="155"/>
      <c r="C2" s="155"/>
      <c r="D2" s="155"/>
      <c r="E2" s="155"/>
      <c r="F2" s="167"/>
      <c r="G2" s="188" t="s">
        <v>922</v>
      </c>
      <c r="H2" s="189">
        <v>87.2</v>
      </c>
      <c r="K2" s="167"/>
    </row>
    <row r="3" spans="1:11" ht="15.9" customHeight="1" x14ac:dyDescent="0.25">
      <c r="A3" s="226" t="s">
        <v>1</v>
      </c>
      <c r="B3" s="226"/>
      <c r="C3" s="226"/>
      <c r="D3" s="226"/>
      <c r="E3" s="226"/>
    </row>
    <row r="4" spans="1:11" ht="39.6" x14ac:dyDescent="0.25">
      <c r="A4" s="190" t="s">
        <v>2</v>
      </c>
      <c r="B4" s="190" t="s">
        <v>3</v>
      </c>
      <c r="C4" s="190" t="s">
        <v>4</v>
      </c>
      <c r="D4" s="190" t="s">
        <v>918</v>
      </c>
      <c r="E4" s="191" t="s">
        <v>919</v>
      </c>
      <c r="F4" s="219" t="s">
        <v>920</v>
      </c>
      <c r="G4" s="190" t="s">
        <v>921</v>
      </c>
      <c r="H4" s="191" t="s">
        <v>923</v>
      </c>
      <c r="K4" s="164" t="s">
        <v>5</v>
      </c>
    </row>
    <row r="5" spans="1:11" ht="27" customHeight="1" x14ac:dyDescent="0.25">
      <c r="A5" s="158"/>
      <c r="B5" s="227" t="s">
        <v>6</v>
      </c>
      <c r="C5" s="227"/>
      <c r="D5" s="227"/>
      <c r="E5" s="227"/>
      <c r="F5" s="227"/>
      <c r="G5" s="227"/>
      <c r="H5" s="227"/>
      <c r="K5" s="149"/>
    </row>
    <row r="6" spans="1:11" ht="25.5" customHeight="1" outlineLevel="1" x14ac:dyDescent="0.25">
      <c r="A6" s="152" t="s">
        <v>7</v>
      </c>
      <c r="B6" s="152" t="s">
        <v>8</v>
      </c>
      <c r="C6" s="152" t="s">
        <v>9</v>
      </c>
      <c r="D6" s="156" t="s">
        <v>10</v>
      </c>
      <c r="E6" s="196">
        <v>2</v>
      </c>
      <c r="F6" s="215"/>
      <c r="G6" s="169">
        <f>E6*F6</f>
        <v>0</v>
      </c>
      <c r="H6" s="178">
        <f>G6/$H$2</f>
        <v>0</v>
      </c>
      <c r="J6" s="149">
        <f>K6*0.25</f>
        <v>250</v>
      </c>
      <c r="K6" s="169">
        <v>1000</v>
      </c>
    </row>
    <row r="7" spans="1:11" outlineLevel="1" x14ac:dyDescent="0.25">
      <c r="A7" s="152" t="s">
        <v>11</v>
      </c>
      <c r="B7" s="152" t="s">
        <v>12</v>
      </c>
      <c r="C7" s="152" t="s">
        <v>13</v>
      </c>
      <c r="D7" s="156" t="s">
        <v>14</v>
      </c>
      <c r="E7" s="196">
        <v>10</v>
      </c>
      <c r="F7" s="215"/>
      <c r="G7" s="169">
        <f t="shared" ref="G7:G72" si="0">E7*F7</f>
        <v>0</v>
      </c>
      <c r="H7" s="178">
        <f t="shared" ref="H7:H72" si="1">G7/$H$2</f>
        <v>0</v>
      </c>
      <c r="J7" s="149">
        <f t="shared" ref="J7:J70" si="2">K7*0.25</f>
        <v>50</v>
      </c>
      <c r="K7" s="169">
        <v>200</v>
      </c>
    </row>
    <row r="8" spans="1:11" outlineLevel="1" x14ac:dyDescent="0.25">
      <c r="A8" s="152" t="s">
        <v>15</v>
      </c>
      <c r="B8" s="152" t="s">
        <v>16</v>
      </c>
      <c r="C8" s="152" t="s">
        <v>17</v>
      </c>
      <c r="D8" s="156" t="s">
        <v>18</v>
      </c>
      <c r="E8" s="196">
        <v>90</v>
      </c>
      <c r="F8" s="215"/>
      <c r="G8" s="169">
        <f t="shared" si="0"/>
        <v>0</v>
      </c>
      <c r="H8" s="178">
        <f t="shared" si="1"/>
        <v>0</v>
      </c>
      <c r="J8" s="149">
        <f t="shared" si="2"/>
        <v>112.5</v>
      </c>
      <c r="K8" s="169">
        <v>450</v>
      </c>
    </row>
    <row r="9" spans="1:11" ht="26.4" outlineLevel="1" x14ac:dyDescent="0.25">
      <c r="A9" s="152" t="s">
        <v>19</v>
      </c>
      <c r="B9" s="152" t="s">
        <v>20</v>
      </c>
      <c r="C9" s="152" t="s">
        <v>21</v>
      </c>
      <c r="D9" s="156" t="s">
        <v>18</v>
      </c>
      <c r="E9" s="196">
        <v>120</v>
      </c>
      <c r="F9" s="215"/>
      <c r="G9" s="169">
        <f t="shared" si="0"/>
        <v>0</v>
      </c>
      <c r="H9" s="178">
        <f t="shared" si="1"/>
        <v>0</v>
      </c>
      <c r="J9" s="149">
        <f t="shared" si="2"/>
        <v>150</v>
      </c>
      <c r="K9" s="169">
        <v>600</v>
      </c>
    </row>
    <row r="10" spans="1:11" outlineLevel="1" x14ac:dyDescent="0.25">
      <c r="A10" s="152" t="s">
        <v>22</v>
      </c>
      <c r="B10" s="152" t="s">
        <v>23</v>
      </c>
      <c r="C10" s="152" t="s">
        <v>24</v>
      </c>
      <c r="D10" s="156" t="s">
        <v>18</v>
      </c>
      <c r="E10" s="196">
        <v>480</v>
      </c>
      <c r="F10" s="215"/>
      <c r="G10" s="169">
        <f t="shared" si="0"/>
        <v>0</v>
      </c>
      <c r="H10" s="178">
        <f t="shared" si="1"/>
        <v>0</v>
      </c>
      <c r="J10" s="149">
        <f t="shared" si="2"/>
        <v>30</v>
      </c>
      <c r="K10" s="169">
        <v>120</v>
      </c>
    </row>
    <row r="11" spans="1:11" outlineLevel="1" x14ac:dyDescent="0.25">
      <c r="A11" s="152" t="s">
        <v>25</v>
      </c>
      <c r="B11" s="152" t="s">
        <v>26</v>
      </c>
      <c r="C11" s="152" t="s">
        <v>27</v>
      </c>
      <c r="D11" s="156" t="s">
        <v>18</v>
      </c>
      <c r="E11" s="196">
        <f>4*6*4</f>
        <v>96</v>
      </c>
      <c r="F11" s="215"/>
      <c r="G11" s="169">
        <f t="shared" si="0"/>
        <v>0</v>
      </c>
      <c r="H11" s="178">
        <f t="shared" si="1"/>
        <v>0</v>
      </c>
      <c r="J11" s="149">
        <f t="shared" si="2"/>
        <v>100</v>
      </c>
      <c r="K11" s="169">
        <v>400</v>
      </c>
    </row>
    <row r="12" spans="1:11" x14ac:dyDescent="0.25">
      <c r="A12" s="152" t="s">
        <v>28</v>
      </c>
      <c r="B12" s="159" t="s">
        <v>29</v>
      </c>
      <c r="C12" s="159" t="s">
        <v>30</v>
      </c>
      <c r="D12" s="158"/>
      <c r="E12" s="197"/>
      <c r="F12" s="216"/>
      <c r="G12" s="170"/>
      <c r="H12" s="179"/>
      <c r="J12" s="149">
        <f t="shared" si="2"/>
        <v>0</v>
      </c>
      <c r="K12" s="170"/>
    </row>
    <row r="13" spans="1:11" x14ac:dyDescent="0.25">
      <c r="A13" s="152" t="s">
        <v>31</v>
      </c>
      <c r="B13" s="152" t="s">
        <v>32</v>
      </c>
      <c r="C13" s="150" t="s">
        <v>33</v>
      </c>
      <c r="D13" s="152" t="s">
        <v>34</v>
      </c>
      <c r="E13" s="198">
        <v>2</v>
      </c>
      <c r="F13" s="215"/>
      <c r="G13" s="169">
        <f t="shared" si="0"/>
        <v>0</v>
      </c>
      <c r="H13" s="178">
        <f t="shared" si="1"/>
        <v>0</v>
      </c>
      <c r="J13" s="149">
        <f t="shared" si="2"/>
        <v>1125</v>
      </c>
      <c r="K13" s="169">
        <v>4500</v>
      </c>
    </row>
    <row r="14" spans="1:11" ht="28.5" customHeight="1" outlineLevel="1" x14ac:dyDescent="0.25">
      <c r="A14" s="152" t="s">
        <v>35</v>
      </c>
      <c r="B14" s="150" t="s">
        <v>36</v>
      </c>
      <c r="C14" s="150" t="s">
        <v>37</v>
      </c>
      <c r="D14" s="152" t="s">
        <v>34</v>
      </c>
      <c r="E14" s="199">
        <v>2.9</v>
      </c>
      <c r="F14" s="215"/>
      <c r="G14" s="169">
        <f t="shared" si="0"/>
        <v>0</v>
      </c>
      <c r="H14" s="178">
        <f t="shared" si="1"/>
        <v>0</v>
      </c>
      <c r="J14" s="149">
        <f t="shared" si="2"/>
        <v>950</v>
      </c>
      <c r="K14" s="169">
        <v>3800</v>
      </c>
    </row>
    <row r="15" spans="1:11" ht="32.25" customHeight="1" outlineLevel="1" x14ac:dyDescent="0.25">
      <c r="A15" s="152" t="s">
        <v>38</v>
      </c>
      <c r="B15" s="150" t="s">
        <v>39</v>
      </c>
      <c r="C15" s="150" t="s">
        <v>40</v>
      </c>
      <c r="D15" s="152" t="s">
        <v>34</v>
      </c>
      <c r="E15" s="199">
        <v>0.7</v>
      </c>
      <c r="F15" s="215"/>
      <c r="G15" s="169">
        <f t="shared" si="0"/>
        <v>0</v>
      </c>
      <c r="H15" s="178">
        <f t="shared" si="1"/>
        <v>0</v>
      </c>
      <c r="J15" s="149">
        <f t="shared" si="2"/>
        <v>950</v>
      </c>
      <c r="K15" s="169">
        <v>3800</v>
      </c>
    </row>
    <row r="16" spans="1:11" outlineLevel="1" x14ac:dyDescent="0.25">
      <c r="A16" s="152" t="s">
        <v>41</v>
      </c>
      <c r="B16" s="150" t="s">
        <v>42</v>
      </c>
      <c r="C16" s="150" t="s">
        <v>43</v>
      </c>
      <c r="D16" s="152" t="s">
        <v>34</v>
      </c>
      <c r="E16" s="199">
        <f>9.35*1.5</f>
        <v>14.024999999999999</v>
      </c>
      <c r="F16" s="215"/>
      <c r="G16" s="169">
        <f t="shared" si="0"/>
        <v>0</v>
      </c>
      <c r="H16" s="178">
        <f t="shared" si="1"/>
        <v>0</v>
      </c>
      <c r="J16" s="149">
        <f t="shared" si="2"/>
        <v>950</v>
      </c>
      <c r="K16" s="169">
        <v>3800</v>
      </c>
    </row>
    <row r="17" spans="1:11" outlineLevel="1" x14ac:dyDescent="0.25">
      <c r="A17" s="152" t="s">
        <v>44</v>
      </c>
      <c r="B17" s="150" t="s">
        <v>45</v>
      </c>
      <c r="C17" s="150" t="s">
        <v>46</v>
      </c>
      <c r="D17" s="156" t="s">
        <v>18</v>
      </c>
      <c r="E17" s="199">
        <f>2.8*3</f>
        <v>8.3999999999999986</v>
      </c>
      <c r="F17" s="215"/>
      <c r="G17" s="169">
        <f t="shared" si="0"/>
        <v>0</v>
      </c>
      <c r="H17" s="178">
        <f t="shared" si="1"/>
        <v>0</v>
      </c>
      <c r="J17" s="149">
        <f t="shared" si="2"/>
        <v>500</v>
      </c>
      <c r="K17" s="169">
        <v>2000</v>
      </c>
    </row>
    <row r="18" spans="1:11" outlineLevel="1" x14ac:dyDescent="0.25">
      <c r="A18" s="152" t="s">
        <v>47</v>
      </c>
      <c r="B18" s="150" t="s">
        <v>48</v>
      </c>
      <c r="C18" s="150" t="s">
        <v>49</v>
      </c>
      <c r="D18" s="156" t="s">
        <v>18</v>
      </c>
      <c r="E18" s="199">
        <f>88+8.4+8.4</f>
        <v>104.80000000000001</v>
      </c>
      <c r="F18" s="215"/>
      <c r="G18" s="169">
        <f t="shared" si="0"/>
        <v>0</v>
      </c>
      <c r="H18" s="178">
        <f t="shared" si="1"/>
        <v>0</v>
      </c>
      <c r="J18" s="149">
        <f t="shared" si="2"/>
        <v>112.5</v>
      </c>
      <c r="K18" s="169">
        <v>450</v>
      </c>
    </row>
    <row r="19" spans="1:11" outlineLevel="1" x14ac:dyDescent="0.25">
      <c r="A19" s="152" t="s">
        <v>50</v>
      </c>
      <c r="B19" s="150" t="s">
        <v>51</v>
      </c>
      <c r="C19" s="150" t="s">
        <v>52</v>
      </c>
      <c r="D19" s="156" t="s">
        <v>14</v>
      </c>
      <c r="E19" s="199">
        <v>30</v>
      </c>
      <c r="F19" s="215"/>
      <c r="G19" s="169">
        <f t="shared" si="0"/>
        <v>0</v>
      </c>
      <c r="H19" s="178">
        <f t="shared" si="1"/>
        <v>0</v>
      </c>
      <c r="J19" s="149">
        <f t="shared" si="2"/>
        <v>75</v>
      </c>
      <c r="K19" s="169">
        <v>300</v>
      </c>
    </row>
    <row r="20" spans="1:11" outlineLevel="1" x14ac:dyDescent="0.25">
      <c r="A20" s="152" t="s">
        <v>53</v>
      </c>
      <c r="B20" s="150" t="s">
        <v>54</v>
      </c>
      <c r="C20" s="150" t="s">
        <v>55</v>
      </c>
      <c r="D20" s="156" t="s">
        <v>18</v>
      </c>
      <c r="E20" s="199">
        <f>E18</f>
        <v>104.80000000000001</v>
      </c>
      <c r="F20" s="215"/>
      <c r="G20" s="169">
        <f t="shared" si="0"/>
        <v>0</v>
      </c>
      <c r="H20" s="178">
        <f t="shared" si="1"/>
        <v>0</v>
      </c>
      <c r="J20" s="149">
        <f t="shared" si="2"/>
        <v>75</v>
      </c>
      <c r="K20" s="169">
        <v>300</v>
      </c>
    </row>
    <row r="21" spans="1:11" outlineLevel="1" x14ac:dyDescent="0.25">
      <c r="A21" s="152" t="s">
        <v>56</v>
      </c>
      <c r="B21" s="150" t="s">
        <v>57</v>
      </c>
      <c r="C21" s="150" t="s">
        <v>58</v>
      </c>
      <c r="D21" s="156" t="s">
        <v>18</v>
      </c>
      <c r="E21" s="199">
        <v>40</v>
      </c>
      <c r="F21" s="215"/>
      <c r="G21" s="169">
        <f t="shared" si="0"/>
        <v>0</v>
      </c>
      <c r="H21" s="178">
        <f t="shared" si="1"/>
        <v>0</v>
      </c>
      <c r="J21" s="149">
        <f t="shared" si="2"/>
        <v>75</v>
      </c>
      <c r="K21" s="169">
        <v>300</v>
      </c>
    </row>
    <row r="22" spans="1:11" outlineLevel="1" x14ac:dyDescent="0.25">
      <c r="A22" s="152" t="s">
        <v>59</v>
      </c>
      <c r="B22" s="150" t="s">
        <v>60</v>
      </c>
      <c r="C22" s="150" t="s">
        <v>61</v>
      </c>
      <c r="D22" s="156" t="s">
        <v>18</v>
      </c>
      <c r="E22" s="199">
        <v>40</v>
      </c>
      <c r="F22" s="215"/>
      <c r="G22" s="169">
        <f t="shared" si="0"/>
        <v>0</v>
      </c>
      <c r="H22" s="178">
        <f t="shared" si="1"/>
        <v>0</v>
      </c>
      <c r="J22" s="149">
        <f t="shared" si="2"/>
        <v>87.5</v>
      </c>
      <c r="K22" s="169">
        <v>350</v>
      </c>
    </row>
    <row r="23" spans="1:11" outlineLevel="1" x14ac:dyDescent="0.25">
      <c r="A23" s="152" t="s">
        <v>62</v>
      </c>
      <c r="B23" s="152" t="s">
        <v>63</v>
      </c>
      <c r="C23" s="152" t="s">
        <v>64</v>
      </c>
      <c r="D23" s="156" t="s">
        <v>18</v>
      </c>
      <c r="E23" s="196">
        <f>E20+8.4+8.4</f>
        <v>121.60000000000002</v>
      </c>
      <c r="F23" s="215"/>
      <c r="G23" s="169">
        <f t="shared" si="0"/>
        <v>0</v>
      </c>
      <c r="H23" s="178">
        <f t="shared" si="1"/>
        <v>0</v>
      </c>
      <c r="J23" s="149">
        <f t="shared" si="2"/>
        <v>62.5</v>
      </c>
      <c r="K23" s="169">
        <v>250</v>
      </c>
    </row>
    <row r="24" spans="1:11" ht="27" customHeight="1" outlineLevel="1" x14ac:dyDescent="0.25">
      <c r="A24" s="152" t="s">
        <v>65</v>
      </c>
      <c r="B24" s="150" t="s">
        <v>66</v>
      </c>
      <c r="C24" s="150" t="s">
        <v>67</v>
      </c>
      <c r="D24" s="156" t="s">
        <v>18</v>
      </c>
      <c r="E24" s="199">
        <v>43</v>
      </c>
      <c r="F24" s="215"/>
      <c r="G24" s="169">
        <f t="shared" si="0"/>
        <v>0</v>
      </c>
      <c r="H24" s="178">
        <f t="shared" si="1"/>
        <v>0</v>
      </c>
      <c r="J24" s="149">
        <f t="shared" si="2"/>
        <v>87.5</v>
      </c>
      <c r="K24" s="169">
        <v>350</v>
      </c>
    </row>
    <row r="25" spans="1:11" outlineLevel="1" x14ac:dyDescent="0.25">
      <c r="A25" s="152" t="s">
        <v>68</v>
      </c>
      <c r="B25" s="152" t="s">
        <v>69</v>
      </c>
      <c r="C25" s="152" t="s">
        <v>70</v>
      </c>
      <c r="D25" s="156" t="s">
        <v>14</v>
      </c>
      <c r="E25" s="196">
        <v>29</v>
      </c>
      <c r="F25" s="215"/>
      <c r="G25" s="169">
        <f t="shared" si="0"/>
        <v>0</v>
      </c>
      <c r="H25" s="178">
        <f t="shared" si="1"/>
        <v>0</v>
      </c>
      <c r="J25" s="149">
        <f t="shared" si="2"/>
        <v>75</v>
      </c>
      <c r="K25" s="169">
        <v>300</v>
      </c>
    </row>
    <row r="26" spans="1:11" ht="24.75" customHeight="1" outlineLevel="1" x14ac:dyDescent="0.25">
      <c r="A26" s="152" t="s">
        <v>71</v>
      </c>
      <c r="B26" s="152" t="s">
        <v>72</v>
      </c>
      <c r="C26" s="152" t="s">
        <v>73</v>
      </c>
      <c r="D26" s="156" t="s">
        <v>18</v>
      </c>
      <c r="E26" s="196">
        <v>43</v>
      </c>
      <c r="F26" s="215"/>
      <c r="G26" s="169">
        <f t="shared" si="0"/>
        <v>0</v>
      </c>
      <c r="H26" s="178">
        <f t="shared" si="1"/>
        <v>0</v>
      </c>
      <c r="J26" s="149">
        <f t="shared" si="2"/>
        <v>116.25</v>
      </c>
      <c r="K26" s="169">
        <v>465</v>
      </c>
    </row>
    <row r="27" spans="1:11" outlineLevel="1" x14ac:dyDescent="0.25">
      <c r="A27" s="152" t="s">
        <v>74</v>
      </c>
      <c r="B27" s="152" t="s">
        <v>75</v>
      </c>
      <c r="C27" s="152" t="s">
        <v>76</v>
      </c>
      <c r="D27" s="156" t="s">
        <v>77</v>
      </c>
      <c r="E27" s="196">
        <v>31</v>
      </c>
      <c r="F27" s="215"/>
      <c r="G27" s="169">
        <f t="shared" si="0"/>
        <v>0</v>
      </c>
      <c r="H27" s="178">
        <f t="shared" si="1"/>
        <v>0</v>
      </c>
      <c r="J27" s="149">
        <f t="shared" si="2"/>
        <v>37.5</v>
      </c>
      <c r="K27" s="169">
        <v>150</v>
      </c>
    </row>
    <row r="28" spans="1:11" ht="47.25" customHeight="1" outlineLevel="1" x14ac:dyDescent="0.25">
      <c r="A28" s="152" t="s">
        <v>78</v>
      </c>
      <c r="B28" s="150" t="s">
        <v>79</v>
      </c>
      <c r="C28" s="150" t="s">
        <v>80</v>
      </c>
      <c r="D28" s="156" t="s">
        <v>10</v>
      </c>
      <c r="E28" s="199">
        <v>2</v>
      </c>
      <c r="F28" s="215"/>
      <c r="G28" s="169">
        <f t="shared" si="0"/>
        <v>0</v>
      </c>
      <c r="H28" s="178">
        <f t="shared" si="1"/>
        <v>0</v>
      </c>
      <c r="J28" s="149">
        <f t="shared" si="2"/>
        <v>500</v>
      </c>
      <c r="K28" s="169">
        <v>2000</v>
      </c>
    </row>
    <row r="29" spans="1:11" outlineLevel="1" x14ac:dyDescent="0.25">
      <c r="A29" s="152" t="s">
        <v>81</v>
      </c>
      <c r="B29" s="150" t="s">
        <v>82</v>
      </c>
      <c r="C29" s="150" t="s">
        <v>83</v>
      </c>
      <c r="D29" s="156" t="s">
        <v>10</v>
      </c>
      <c r="E29" s="199">
        <v>2</v>
      </c>
      <c r="F29" s="215"/>
      <c r="G29" s="169">
        <f t="shared" si="0"/>
        <v>0</v>
      </c>
      <c r="H29" s="178">
        <f t="shared" si="1"/>
        <v>0</v>
      </c>
      <c r="J29" s="149">
        <f t="shared" si="2"/>
        <v>625</v>
      </c>
      <c r="K29" s="169">
        <v>2500</v>
      </c>
    </row>
    <row r="30" spans="1:11" ht="26.4" outlineLevel="1" x14ac:dyDescent="0.25">
      <c r="A30" s="152" t="s">
        <v>84</v>
      </c>
      <c r="B30" s="152" t="s">
        <v>85</v>
      </c>
      <c r="C30" s="152" t="s">
        <v>86</v>
      </c>
      <c r="D30" s="156" t="s">
        <v>14</v>
      </c>
      <c r="E30" s="196">
        <v>2.2999999999999998</v>
      </c>
      <c r="F30" s="215"/>
      <c r="G30" s="169">
        <f t="shared" si="0"/>
        <v>0</v>
      </c>
      <c r="H30" s="178">
        <f t="shared" si="1"/>
        <v>0</v>
      </c>
      <c r="J30" s="149">
        <f t="shared" si="2"/>
        <v>75</v>
      </c>
      <c r="K30" s="169">
        <v>300</v>
      </c>
    </row>
    <row r="31" spans="1:11" outlineLevel="1" x14ac:dyDescent="0.25">
      <c r="A31" s="152" t="s">
        <v>87</v>
      </c>
      <c r="B31" s="159" t="s">
        <v>88</v>
      </c>
      <c r="C31" s="159" t="s">
        <v>89</v>
      </c>
      <c r="D31" s="158"/>
      <c r="E31" s="197"/>
      <c r="F31" s="216"/>
      <c r="G31" s="170"/>
      <c r="H31" s="179"/>
      <c r="J31" s="149">
        <f t="shared" si="2"/>
        <v>0</v>
      </c>
      <c r="K31" s="170"/>
    </row>
    <row r="32" spans="1:11" outlineLevel="1" x14ac:dyDescent="0.25">
      <c r="A32" s="152" t="s">
        <v>90</v>
      </c>
      <c r="B32" s="152" t="s">
        <v>91</v>
      </c>
      <c r="C32" s="152" t="s">
        <v>92</v>
      </c>
      <c r="D32" s="156" t="s">
        <v>18</v>
      </c>
      <c r="E32" s="196">
        <v>100</v>
      </c>
      <c r="F32" s="215"/>
      <c r="G32" s="169">
        <f t="shared" si="0"/>
        <v>0</v>
      </c>
      <c r="H32" s="178">
        <f t="shared" si="1"/>
        <v>0</v>
      </c>
      <c r="J32" s="149">
        <f t="shared" si="2"/>
        <v>62.5</v>
      </c>
      <c r="K32" s="169">
        <v>250</v>
      </c>
    </row>
    <row r="33" spans="1:11" ht="26.4" outlineLevel="1" x14ac:dyDescent="0.25">
      <c r="A33" s="152" t="s">
        <v>93</v>
      </c>
      <c r="B33" s="152" t="s">
        <v>94</v>
      </c>
      <c r="C33" s="152" t="s">
        <v>95</v>
      </c>
      <c r="D33" s="156" t="s">
        <v>18</v>
      </c>
      <c r="E33" s="196">
        <v>120</v>
      </c>
      <c r="F33" s="215"/>
      <c r="G33" s="169">
        <f t="shared" si="0"/>
        <v>0</v>
      </c>
      <c r="H33" s="178">
        <f t="shared" si="1"/>
        <v>0</v>
      </c>
      <c r="J33" s="149">
        <f t="shared" si="2"/>
        <v>1050</v>
      </c>
      <c r="K33" s="169">
        <v>4200</v>
      </c>
    </row>
    <row r="34" spans="1:11" ht="19.95" customHeight="1" outlineLevel="1" x14ac:dyDescent="0.25">
      <c r="A34" s="152" t="s">
        <v>96</v>
      </c>
      <c r="B34" s="159" t="s">
        <v>97</v>
      </c>
      <c r="C34" s="159" t="s">
        <v>98</v>
      </c>
      <c r="D34" s="158"/>
      <c r="E34" s="197"/>
      <c r="F34" s="216"/>
      <c r="G34" s="170"/>
      <c r="H34" s="179"/>
      <c r="J34" s="149">
        <f t="shared" si="2"/>
        <v>0</v>
      </c>
      <c r="K34" s="170"/>
    </row>
    <row r="35" spans="1:11" ht="26.4" outlineLevel="1" x14ac:dyDescent="0.25">
      <c r="A35" s="152" t="s">
        <v>99</v>
      </c>
      <c r="B35" s="152" t="s">
        <v>100</v>
      </c>
      <c r="C35" s="152" t="s">
        <v>101</v>
      </c>
      <c r="D35" s="150" t="s">
        <v>102</v>
      </c>
      <c r="E35" s="199">
        <v>25</v>
      </c>
      <c r="F35" s="215"/>
      <c r="G35" s="169">
        <f t="shared" si="0"/>
        <v>0</v>
      </c>
      <c r="H35" s="178">
        <f t="shared" si="1"/>
        <v>0</v>
      </c>
      <c r="J35" s="149">
        <f t="shared" si="2"/>
        <v>50</v>
      </c>
      <c r="K35" s="169">
        <v>200</v>
      </c>
    </row>
    <row r="36" spans="1:11" ht="26.4" outlineLevel="1" x14ac:dyDescent="0.25">
      <c r="A36" s="152" t="s">
        <v>103</v>
      </c>
      <c r="B36" s="152" t="s">
        <v>104</v>
      </c>
      <c r="C36" s="152" t="s">
        <v>105</v>
      </c>
      <c r="D36" s="150" t="s">
        <v>102</v>
      </c>
      <c r="E36" s="199">
        <v>15</v>
      </c>
      <c r="F36" s="215"/>
      <c r="G36" s="169">
        <f t="shared" si="0"/>
        <v>0</v>
      </c>
      <c r="H36" s="178">
        <f t="shared" si="1"/>
        <v>0</v>
      </c>
      <c r="J36" s="149">
        <f t="shared" si="2"/>
        <v>75</v>
      </c>
      <c r="K36" s="169">
        <v>300</v>
      </c>
    </row>
    <row r="37" spans="1:11" ht="39.6" outlineLevel="1" x14ac:dyDescent="0.25">
      <c r="A37" s="152" t="s">
        <v>106</v>
      </c>
      <c r="B37" s="152" t="s">
        <v>107</v>
      </c>
      <c r="C37" s="152" t="s">
        <v>108</v>
      </c>
      <c r="D37" s="150" t="s">
        <v>102</v>
      </c>
      <c r="E37" s="199">
        <v>4</v>
      </c>
      <c r="F37" s="215"/>
      <c r="G37" s="169">
        <f t="shared" si="0"/>
        <v>0</v>
      </c>
      <c r="H37" s="178">
        <f t="shared" si="1"/>
        <v>0</v>
      </c>
      <c r="J37" s="149">
        <f t="shared" si="2"/>
        <v>150</v>
      </c>
      <c r="K37" s="169">
        <v>600</v>
      </c>
    </row>
    <row r="38" spans="1:11" ht="26.4" outlineLevel="1" x14ac:dyDescent="0.25">
      <c r="A38" s="152" t="s">
        <v>109</v>
      </c>
      <c r="B38" s="152" t="s">
        <v>110</v>
      </c>
      <c r="C38" s="152" t="s">
        <v>111</v>
      </c>
      <c r="D38" s="150" t="s">
        <v>102</v>
      </c>
      <c r="E38" s="199">
        <v>30</v>
      </c>
      <c r="F38" s="215"/>
      <c r="G38" s="169">
        <f t="shared" si="0"/>
        <v>0</v>
      </c>
      <c r="H38" s="178">
        <f t="shared" si="1"/>
        <v>0</v>
      </c>
      <c r="J38" s="149">
        <f t="shared" si="2"/>
        <v>150</v>
      </c>
      <c r="K38" s="169">
        <v>600</v>
      </c>
    </row>
    <row r="39" spans="1:11" x14ac:dyDescent="0.25">
      <c r="A39" s="152" t="s">
        <v>112</v>
      </c>
      <c r="B39" s="152" t="s">
        <v>113</v>
      </c>
      <c r="C39" s="152" t="s">
        <v>114</v>
      </c>
      <c r="D39" s="150" t="s">
        <v>115</v>
      </c>
      <c r="E39" s="199">
        <v>1</v>
      </c>
      <c r="F39" s="215"/>
      <c r="G39" s="169">
        <f t="shared" si="0"/>
        <v>0</v>
      </c>
      <c r="H39" s="178">
        <f t="shared" si="1"/>
        <v>0</v>
      </c>
      <c r="J39" s="149">
        <f t="shared" si="2"/>
        <v>375</v>
      </c>
      <c r="K39" s="169">
        <v>1500</v>
      </c>
    </row>
    <row r="40" spans="1:11" outlineLevel="1" x14ac:dyDescent="0.25">
      <c r="A40" s="152" t="s">
        <v>116</v>
      </c>
      <c r="B40" s="152" t="s">
        <v>117</v>
      </c>
      <c r="C40" s="152" t="s">
        <v>118</v>
      </c>
      <c r="D40" s="152" t="s">
        <v>115</v>
      </c>
      <c r="E40" s="196">
        <v>1</v>
      </c>
      <c r="F40" s="215"/>
      <c r="G40" s="169">
        <f t="shared" si="0"/>
        <v>0</v>
      </c>
      <c r="H40" s="178">
        <f t="shared" si="1"/>
        <v>0</v>
      </c>
      <c r="J40" s="149">
        <f t="shared" si="2"/>
        <v>375</v>
      </c>
      <c r="K40" s="169">
        <v>1500</v>
      </c>
    </row>
    <row r="41" spans="1:11" outlineLevel="1" x14ac:dyDescent="0.25">
      <c r="A41" s="152" t="s">
        <v>119</v>
      </c>
      <c r="B41" s="152" t="s">
        <v>120</v>
      </c>
      <c r="C41" s="152" t="s">
        <v>121</v>
      </c>
      <c r="D41" s="152" t="s">
        <v>10</v>
      </c>
      <c r="E41" s="196">
        <v>16</v>
      </c>
      <c r="F41" s="215"/>
      <c r="G41" s="169">
        <f t="shared" si="0"/>
        <v>0</v>
      </c>
      <c r="H41" s="178">
        <f t="shared" si="1"/>
        <v>0</v>
      </c>
      <c r="J41" s="149">
        <f t="shared" si="2"/>
        <v>25</v>
      </c>
      <c r="K41" s="169">
        <v>100</v>
      </c>
    </row>
    <row r="42" spans="1:11" outlineLevel="1" x14ac:dyDescent="0.25">
      <c r="A42" s="152" t="s">
        <v>122</v>
      </c>
      <c r="B42" s="152" t="s">
        <v>123</v>
      </c>
      <c r="C42" s="152" t="s">
        <v>124</v>
      </c>
      <c r="D42" s="152" t="s">
        <v>10</v>
      </c>
      <c r="E42" s="196">
        <v>16</v>
      </c>
      <c r="F42" s="215"/>
      <c r="G42" s="169">
        <f t="shared" si="0"/>
        <v>0</v>
      </c>
      <c r="H42" s="178">
        <f t="shared" si="1"/>
        <v>0</v>
      </c>
      <c r="J42" s="149">
        <f t="shared" si="2"/>
        <v>500</v>
      </c>
      <c r="K42" s="169">
        <v>2000</v>
      </c>
    </row>
    <row r="43" spans="1:11" ht="39.6" outlineLevel="1" x14ac:dyDescent="0.25">
      <c r="A43" s="152" t="s">
        <v>125</v>
      </c>
      <c r="B43" s="150" t="s">
        <v>126</v>
      </c>
      <c r="C43" s="150" t="s">
        <v>127</v>
      </c>
      <c r="D43" s="151" t="s">
        <v>10</v>
      </c>
      <c r="E43" s="199">
        <f>5+3</f>
        <v>8</v>
      </c>
      <c r="F43" s="215"/>
      <c r="G43" s="169">
        <f t="shared" si="0"/>
        <v>0</v>
      </c>
      <c r="H43" s="178">
        <f t="shared" si="1"/>
        <v>0</v>
      </c>
      <c r="J43" s="149">
        <f t="shared" si="2"/>
        <v>50</v>
      </c>
      <c r="K43" s="169">
        <v>200</v>
      </c>
    </row>
    <row r="44" spans="1:11" ht="26.4" outlineLevel="1" x14ac:dyDescent="0.25">
      <c r="A44" s="152" t="s">
        <v>128</v>
      </c>
      <c r="B44" s="150" t="s">
        <v>129</v>
      </c>
      <c r="C44" s="150" t="s">
        <v>130</v>
      </c>
      <c r="D44" s="151" t="s">
        <v>10</v>
      </c>
      <c r="E44" s="199">
        <v>1</v>
      </c>
      <c r="F44" s="215"/>
      <c r="G44" s="169">
        <f t="shared" si="0"/>
        <v>0</v>
      </c>
      <c r="H44" s="178">
        <f t="shared" si="1"/>
        <v>0</v>
      </c>
      <c r="J44" s="149">
        <f t="shared" si="2"/>
        <v>3750</v>
      </c>
      <c r="K44" s="169">
        <v>15000</v>
      </c>
    </row>
    <row r="45" spans="1:11" outlineLevel="1" x14ac:dyDescent="0.25">
      <c r="A45" s="152" t="s">
        <v>131</v>
      </c>
      <c r="B45" s="159" t="s">
        <v>132</v>
      </c>
      <c r="C45" s="159" t="s">
        <v>133</v>
      </c>
      <c r="D45" s="158"/>
      <c r="E45" s="197"/>
      <c r="F45" s="215"/>
      <c r="G45" s="170"/>
      <c r="H45" s="179"/>
      <c r="J45" s="149">
        <f t="shared" si="2"/>
        <v>0</v>
      </c>
      <c r="K45" s="170"/>
    </row>
    <row r="46" spans="1:11" outlineLevel="1" x14ac:dyDescent="0.25">
      <c r="A46" s="152" t="s">
        <v>134</v>
      </c>
      <c r="B46" s="152" t="s">
        <v>135</v>
      </c>
      <c r="C46" s="152" t="s">
        <v>136</v>
      </c>
      <c r="D46" s="152" t="s">
        <v>137</v>
      </c>
      <c r="E46" s="196">
        <v>8</v>
      </c>
      <c r="F46" s="215"/>
      <c r="G46" s="169">
        <f t="shared" si="0"/>
        <v>0</v>
      </c>
      <c r="H46" s="178">
        <f t="shared" si="1"/>
        <v>0</v>
      </c>
      <c r="J46" s="149">
        <f t="shared" si="2"/>
        <v>62.5</v>
      </c>
      <c r="K46" s="169">
        <v>250</v>
      </c>
    </row>
    <row r="47" spans="1:11" outlineLevel="1" x14ac:dyDescent="0.25">
      <c r="A47" s="152" t="s">
        <v>138</v>
      </c>
      <c r="B47" s="152" t="s">
        <v>139</v>
      </c>
      <c r="C47" s="152" t="s">
        <v>140</v>
      </c>
      <c r="D47" s="152" t="s">
        <v>137</v>
      </c>
      <c r="E47" s="196">
        <v>1</v>
      </c>
      <c r="F47" s="215"/>
      <c r="G47" s="169">
        <f t="shared" si="0"/>
        <v>0</v>
      </c>
      <c r="H47" s="178">
        <f t="shared" si="1"/>
        <v>0</v>
      </c>
      <c r="J47" s="149">
        <f t="shared" si="2"/>
        <v>3000</v>
      </c>
      <c r="K47" s="169">
        <v>12000</v>
      </c>
    </row>
    <row r="48" spans="1:11" ht="18.600000000000001" customHeight="1" outlineLevel="1" x14ac:dyDescent="0.25">
      <c r="A48" s="152" t="s">
        <v>141</v>
      </c>
      <c r="B48" s="152" t="s">
        <v>142</v>
      </c>
      <c r="C48" s="152" t="s">
        <v>143</v>
      </c>
      <c r="D48" s="152" t="s">
        <v>137</v>
      </c>
      <c r="E48" s="196">
        <v>2</v>
      </c>
      <c r="F48" s="215"/>
      <c r="G48" s="169">
        <f t="shared" si="0"/>
        <v>0</v>
      </c>
      <c r="H48" s="178">
        <f t="shared" si="1"/>
        <v>0</v>
      </c>
      <c r="J48" s="149">
        <f t="shared" si="2"/>
        <v>62.5</v>
      </c>
      <c r="K48" s="169">
        <v>250</v>
      </c>
    </row>
    <row r="49" spans="1:11" ht="26.4" customHeight="1" outlineLevel="1" x14ac:dyDescent="0.25">
      <c r="A49" s="152" t="s">
        <v>144</v>
      </c>
      <c r="B49" s="152" t="s">
        <v>145</v>
      </c>
      <c r="C49" s="152" t="s">
        <v>146</v>
      </c>
      <c r="D49" s="152" t="s">
        <v>137</v>
      </c>
      <c r="E49" s="196">
        <v>8</v>
      </c>
      <c r="F49" s="215"/>
      <c r="G49" s="169">
        <f t="shared" si="0"/>
        <v>0</v>
      </c>
      <c r="H49" s="178">
        <f t="shared" si="1"/>
        <v>0</v>
      </c>
      <c r="J49" s="149">
        <f t="shared" si="2"/>
        <v>137.5</v>
      </c>
      <c r="K49" s="169">
        <v>550</v>
      </c>
    </row>
    <row r="50" spans="1:11" x14ac:dyDescent="0.25">
      <c r="A50" s="152" t="s">
        <v>147</v>
      </c>
      <c r="B50" s="152" t="s">
        <v>148</v>
      </c>
      <c r="C50" s="152" t="s">
        <v>149</v>
      </c>
      <c r="D50" s="152" t="s">
        <v>102</v>
      </c>
      <c r="E50" s="196">
        <v>50</v>
      </c>
      <c r="F50" s="215"/>
      <c r="G50" s="169">
        <f>E50*F50</f>
        <v>0</v>
      </c>
      <c r="H50" s="178">
        <f t="shared" si="1"/>
        <v>0</v>
      </c>
      <c r="J50" s="149">
        <f t="shared" si="2"/>
        <v>100</v>
      </c>
      <c r="K50" s="169">
        <v>400</v>
      </c>
    </row>
    <row r="51" spans="1:11" ht="12.6" customHeight="1" outlineLevel="1" x14ac:dyDescent="0.25">
      <c r="A51" s="152" t="s">
        <v>150</v>
      </c>
      <c r="B51" s="152" t="s">
        <v>151</v>
      </c>
      <c r="C51" s="152" t="s">
        <v>152</v>
      </c>
      <c r="D51" s="152" t="s">
        <v>102</v>
      </c>
      <c r="E51" s="199">
        <v>60</v>
      </c>
      <c r="F51" s="215"/>
      <c r="G51" s="169">
        <f>E51*F51</f>
        <v>0</v>
      </c>
      <c r="H51" s="178">
        <f t="shared" si="1"/>
        <v>0</v>
      </c>
      <c r="J51" s="149">
        <f t="shared" si="2"/>
        <v>25</v>
      </c>
      <c r="K51" s="169">
        <v>100</v>
      </c>
    </row>
    <row r="52" spans="1:11" ht="12.6" customHeight="1" outlineLevel="1" x14ac:dyDescent="0.25">
      <c r="A52" s="152" t="s">
        <v>153</v>
      </c>
      <c r="B52" s="152" t="s">
        <v>154</v>
      </c>
      <c r="C52" s="152" t="s">
        <v>155</v>
      </c>
      <c r="D52" s="152" t="s">
        <v>102</v>
      </c>
      <c r="E52" s="199">
        <v>50</v>
      </c>
      <c r="F52" s="215"/>
      <c r="G52" s="169">
        <f t="shared" si="0"/>
        <v>0</v>
      </c>
      <c r="H52" s="178">
        <f t="shared" si="1"/>
        <v>0</v>
      </c>
      <c r="J52" s="149">
        <f t="shared" si="2"/>
        <v>25</v>
      </c>
      <c r="K52" s="169">
        <v>100</v>
      </c>
    </row>
    <row r="53" spans="1:11" ht="20.399999999999999" customHeight="1" outlineLevel="1" x14ac:dyDescent="0.25">
      <c r="A53" s="152" t="s">
        <v>156</v>
      </c>
      <c r="B53" s="152" t="s">
        <v>157</v>
      </c>
      <c r="C53" s="152" t="s">
        <v>158</v>
      </c>
      <c r="D53" s="152" t="s">
        <v>159</v>
      </c>
      <c r="E53" s="199">
        <v>1</v>
      </c>
      <c r="F53" s="215"/>
      <c r="G53" s="169">
        <f t="shared" si="0"/>
        <v>0</v>
      </c>
      <c r="H53" s="178">
        <f t="shared" si="1"/>
        <v>0</v>
      </c>
      <c r="J53" s="149">
        <f t="shared" si="2"/>
        <v>3750</v>
      </c>
      <c r="K53" s="169">
        <v>15000</v>
      </c>
    </row>
    <row r="54" spans="1:11" outlineLevel="1" x14ac:dyDescent="0.25">
      <c r="A54" s="152" t="s">
        <v>160</v>
      </c>
      <c r="B54" s="157"/>
      <c r="C54" s="157"/>
      <c r="D54" s="152"/>
      <c r="E54" s="200"/>
      <c r="F54" s="215"/>
      <c r="G54" s="169"/>
      <c r="H54" s="178"/>
      <c r="J54" s="149">
        <f t="shared" si="2"/>
        <v>0</v>
      </c>
      <c r="K54" s="169"/>
    </row>
    <row r="55" spans="1:11" outlineLevel="1" x14ac:dyDescent="0.25">
      <c r="A55" s="152" t="s">
        <v>161</v>
      </c>
      <c r="B55" s="157" t="s">
        <v>162</v>
      </c>
      <c r="C55" s="157" t="s">
        <v>163</v>
      </c>
      <c r="D55" s="152"/>
      <c r="E55" s="200">
        <v>1</v>
      </c>
      <c r="F55" s="215"/>
      <c r="G55" s="169">
        <f t="shared" si="0"/>
        <v>0</v>
      </c>
      <c r="H55" s="178">
        <f t="shared" si="1"/>
        <v>0</v>
      </c>
      <c r="J55" s="149">
        <f t="shared" si="2"/>
        <v>50000</v>
      </c>
      <c r="K55" s="169">
        <v>200000</v>
      </c>
    </row>
    <row r="56" spans="1:11" outlineLevel="1" x14ac:dyDescent="0.25">
      <c r="A56" s="152" t="s">
        <v>164</v>
      </c>
      <c r="B56" s="157" t="s">
        <v>165</v>
      </c>
      <c r="C56" s="157" t="s">
        <v>166</v>
      </c>
      <c r="D56" s="152"/>
      <c r="E56" s="200"/>
      <c r="F56" s="215"/>
      <c r="G56" s="171">
        <f>SUM(G6:G55)</f>
        <v>0</v>
      </c>
      <c r="H56" s="178">
        <f t="shared" si="1"/>
        <v>0</v>
      </c>
      <c r="J56" s="149">
        <f t="shared" si="2"/>
        <v>0</v>
      </c>
      <c r="K56" s="169"/>
    </row>
    <row r="57" spans="1:11" outlineLevel="1" x14ac:dyDescent="0.25">
      <c r="A57" s="152" t="s">
        <v>167</v>
      </c>
      <c r="B57" s="157" t="s">
        <v>168</v>
      </c>
      <c r="C57" s="157" t="s">
        <v>169</v>
      </c>
      <c r="D57" s="152"/>
      <c r="E57" s="200">
        <v>0.15</v>
      </c>
      <c r="F57" s="215"/>
      <c r="G57" s="171">
        <f>G56*E57</f>
        <v>0</v>
      </c>
      <c r="H57" s="178">
        <f t="shared" si="1"/>
        <v>0</v>
      </c>
      <c r="J57" s="149">
        <f t="shared" si="2"/>
        <v>0</v>
      </c>
      <c r="K57" s="169"/>
    </row>
    <row r="58" spans="1:11" outlineLevel="1" x14ac:dyDescent="0.25">
      <c r="A58" s="152" t="s">
        <v>170</v>
      </c>
      <c r="B58" s="157" t="s">
        <v>171</v>
      </c>
      <c r="C58" s="157" t="s">
        <v>172</v>
      </c>
      <c r="D58" s="152"/>
      <c r="E58" s="200"/>
      <c r="F58" s="215"/>
      <c r="G58" s="171">
        <f>G56+G57</f>
        <v>0</v>
      </c>
      <c r="H58" s="178">
        <f t="shared" si="1"/>
        <v>0</v>
      </c>
      <c r="J58" s="149">
        <f t="shared" si="2"/>
        <v>0</v>
      </c>
      <c r="K58" s="169"/>
    </row>
    <row r="59" spans="1:11" x14ac:dyDescent="0.25">
      <c r="A59" s="152" t="s">
        <v>173</v>
      </c>
      <c r="B59" s="157" t="s">
        <v>174</v>
      </c>
      <c r="C59" s="157" t="s">
        <v>175</v>
      </c>
      <c r="D59" s="152"/>
      <c r="E59" s="201">
        <v>2.2499999999999999E-2</v>
      </c>
      <c r="F59" s="215"/>
      <c r="G59" s="171">
        <f>G58*E59</f>
        <v>0</v>
      </c>
      <c r="H59" s="178">
        <f t="shared" si="1"/>
        <v>0</v>
      </c>
      <c r="J59" s="149">
        <f t="shared" si="2"/>
        <v>0</v>
      </c>
      <c r="K59" s="169"/>
    </row>
    <row r="60" spans="1:11" x14ac:dyDescent="0.25">
      <c r="A60" s="152" t="s">
        <v>176</v>
      </c>
      <c r="B60" s="157" t="s">
        <v>924</v>
      </c>
      <c r="C60" s="157" t="s">
        <v>925</v>
      </c>
      <c r="D60" s="152"/>
      <c r="E60" s="202">
        <v>0.12</v>
      </c>
      <c r="F60" s="215"/>
      <c r="G60" s="171">
        <f>G58*E60</f>
        <v>0</v>
      </c>
      <c r="H60" s="178">
        <f t="shared" si="1"/>
        <v>0</v>
      </c>
      <c r="J60" s="149">
        <f t="shared" si="2"/>
        <v>0</v>
      </c>
      <c r="K60" s="169"/>
    </row>
    <row r="61" spans="1:11" x14ac:dyDescent="0.25">
      <c r="A61" s="152" t="s">
        <v>177</v>
      </c>
      <c r="B61" s="172" t="s">
        <v>165</v>
      </c>
      <c r="C61" s="172" t="s">
        <v>166</v>
      </c>
      <c r="D61" s="173"/>
      <c r="E61" s="203"/>
      <c r="F61" s="216"/>
      <c r="G61" s="175">
        <f>G58+G59+G60</f>
        <v>0</v>
      </c>
      <c r="H61" s="180">
        <f t="shared" si="1"/>
        <v>0</v>
      </c>
      <c r="J61" s="149">
        <f t="shared" si="2"/>
        <v>0</v>
      </c>
      <c r="K61" s="174"/>
    </row>
    <row r="62" spans="1:11" x14ac:dyDescent="0.25">
      <c r="A62" s="152" t="s">
        <v>178</v>
      </c>
      <c r="B62" s="166"/>
      <c r="C62" s="166"/>
      <c r="D62" s="166"/>
      <c r="E62" s="204"/>
      <c r="F62" s="215"/>
      <c r="G62" s="169"/>
      <c r="H62" s="178"/>
      <c r="J62" s="149">
        <f t="shared" si="2"/>
        <v>0</v>
      </c>
      <c r="K62" s="169"/>
    </row>
    <row r="63" spans="1:11" x14ac:dyDescent="0.25">
      <c r="A63" s="152" t="s">
        <v>179</v>
      </c>
      <c r="B63" s="160" t="s">
        <v>180</v>
      </c>
      <c r="C63" s="160" t="s">
        <v>181</v>
      </c>
      <c r="D63" s="161"/>
      <c r="E63" s="205"/>
      <c r="F63" s="217"/>
      <c r="G63" s="163"/>
      <c r="H63" s="181"/>
      <c r="J63" s="149">
        <f t="shared" si="2"/>
        <v>0</v>
      </c>
      <c r="K63" s="163"/>
    </row>
    <row r="64" spans="1:11" x14ac:dyDescent="0.25">
      <c r="A64" s="152" t="s">
        <v>182</v>
      </c>
      <c r="B64" s="160" t="s">
        <v>29</v>
      </c>
      <c r="C64" s="160" t="s">
        <v>30</v>
      </c>
      <c r="D64" s="161"/>
      <c r="E64" s="206"/>
      <c r="F64" s="217"/>
      <c r="G64" s="163"/>
      <c r="H64" s="181"/>
      <c r="J64" s="149">
        <f t="shared" si="2"/>
        <v>0</v>
      </c>
      <c r="K64" s="163"/>
    </row>
    <row r="65" spans="1:11" x14ac:dyDescent="0.25">
      <c r="A65" s="152" t="s">
        <v>183</v>
      </c>
      <c r="B65" s="152" t="s">
        <v>184</v>
      </c>
      <c r="C65" s="152" t="s">
        <v>185</v>
      </c>
      <c r="D65" s="152" t="s">
        <v>186</v>
      </c>
      <c r="E65" s="196">
        <v>46</v>
      </c>
      <c r="F65" s="215"/>
      <c r="G65" s="169">
        <f t="shared" si="0"/>
        <v>0</v>
      </c>
      <c r="H65" s="178">
        <f t="shared" si="1"/>
        <v>0</v>
      </c>
      <c r="J65" s="149">
        <f t="shared" si="2"/>
        <v>250</v>
      </c>
      <c r="K65" s="169">
        <v>1000</v>
      </c>
    </row>
    <row r="66" spans="1:11" x14ac:dyDescent="0.25">
      <c r="A66" s="152" t="s">
        <v>187</v>
      </c>
      <c r="B66" s="152" t="s">
        <v>188</v>
      </c>
      <c r="C66" s="152" t="s">
        <v>189</v>
      </c>
      <c r="D66" s="152" t="s">
        <v>10</v>
      </c>
      <c r="E66" s="196">
        <f>E65*1.68</f>
        <v>77.28</v>
      </c>
      <c r="F66" s="215"/>
      <c r="G66" s="169">
        <f t="shared" si="0"/>
        <v>0</v>
      </c>
      <c r="H66" s="178">
        <f t="shared" si="1"/>
        <v>0</v>
      </c>
      <c r="J66" s="149">
        <f t="shared" si="2"/>
        <v>62.5</v>
      </c>
      <c r="K66" s="169">
        <v>250</v>
      </c>
    </row>
    <row r="67" spans="1:11" x14ac:dyDescent="0.25">
      <c r="A67" s="152" t="s">
        <v>190</v>
      </c>
      <c r="B67" s="152" t="s">
        <v>191</v>
      </c>
      <c r="C67" s="152" t="s">
        <v>192</v>
      </c>
      <c r="D67" s="152" t="s">
        <v>10</v>
      </c>
      <c r="E67" s="196">
        <f>E65*0.84</f>
        <v>38.64</v>
      </c>
      <c r="F67" s="215"/>
      <c r="G67" s="169">
        <f t="shared" si="0"/>
        <v>0</v>
      </c>
      <c r="H67" s="178">
        <f t="shared" si="1"/>
        <v>0</v>
      </c>
      <c r="J67" s="149">
        <f t="shared" si="2"/>
        <v>50</v>
      </c>
      <c r="K67" s="169">
        <v>200</v>
      </c>
    </row>
    <row r="68" spans="1:11" x14ac:dyDescent="0.25">
      <c r="A68" s="152" t="s">
        <v>193</v>
      </c>
      <c r="B68" s="152" t="s">
        <v>194</v>
      </c>
      <c r="C68" s="152" t="s">
        <v>195</v>
      </c>
      <c r="D68" s="152" t="s">
        <v>10</v>
      </c>
      <c r="E68" s="196">
        <f>E65*0.84</f>
        <v>38.64</v>
      </c>
      <c r="F68" s="215"/>
      <c r="G68" s="169">
        <f t="shared" si="0"/>
        <v>0</v>
      </c>
      <c r="H68" s="178">
        <f t="shared" si="1"/>
        <v>0</v>
      </c>
      <c r="J68" s="149">
        <f t="shared" si="2"/>
        <v>37.5</v>
      </c>
      <c r="K68" s="169">
        <v>150</v>
      </c>
    </row>
    <row r="69" spans="1:11" x14ac:dyDescent="0.25">
      <c r="A69" s="152" t="s">
        <v>196</v>
      </c>
      <c r="B69" s="152" t="s">
        <v>197</v>
      </c>
      <c r="C69" s="152" t="s">
        <v>198</v>
      </c>
      <c r="D69" s="152" t="s">
        <v>10</v>
      </c>
      <c r="E69" s="196">
        <f>E65*0.7</f>
        <v>32.199999999999996</v>
      </c>
      <c r="F69" s="215"/>
      <c r="G69" s="169">
        <f t="shared" si="0"/>
        <v>0</v>
      </c>
      <c r="H69" s="178">
        <f t="shared" si="1"/>
        <v>0</v>
      </c>
      <c r="J69" s="149">
        <f t="shared" si="2"/>
        <v>12.5</v>
      </c>
      <c r="K69" s="169">
        <v>50</v>
      </c>
    </row>
    <row r="70" spans="1:11" outlineLevel="2" x14ac:dyDescent="0.25">
      <c r="A70" s="152" t="s">
        <v>199</v>
      </c>
      <c r="B70" s="152" t="s">
        <v>200</v>
      </c>
      <c r="C70" s="152" t="s">
        <v>201</v>
      </c>
      <c r="D70" s="152" t="s">
        <v>202</v>
      </c>
      <c r="E70" s="196">
        <v>8</v>
      </c>
      <c r="F70" s="215"/>
      <c r="G70" s="169">
        <f t="shared" si="0"/>
        <v>0</v>
      </c>
      <c r="H70" s="178">
        <f t="shared" si="1"/>
        <v>0</v>
      </c>
      <c r="J70" s="149">
        <f t="shared" si="2"/>
        <v>1250</v>
      </c>
      <c r="K70" s="169">
        <v>5000</v>
      </c>
    </row>
    <row r="71" spans="1:11" outlineLevel="2" x14ac:dyDescent="0.25">
      <c r="A71" s="152" t="s">
        <v>203</v>
      </c>
      <c r="B71" s="152" t="s">
        <v>926</v>
      </c>
      <c r="C71" s="152" t="s">
        <v>204</v>
      </c>
      <c r="D71" s="152" t="s">
        <v>205</v>
      </c>
      <c r="E71" s="196">
        <v>300</v>
      </c>
      <c r="F71" s="215"/>
      <c r="G71" s="169">
        <f t="shared" si="0"/>
        <v>0</v>
      </c>
      <c r="H71" s="178">
        <f t="shared" si="1"/>
        <v>0</v>
      </c>
      <c r="J71" s="149">
        <f t="shared" ref="J71:J134" si="3">K71*0.25</f>
        <v>12.5</v>
      </c>
      <c r="K71" s="169">
        <v>50</v>
      </c>
    </row>
    <row r="72" spans="1:11" outlineLevel="2" x14ac:dyDescent="0.25">
      <c r="A72" s="152" t="s">
        <v>206</v>
      </c>
      <c r="B72" s="152" t="s">
        <v>207</v>
      </c>
      <c r="C72" s="152" t="s">
        <v>208</v>
      </c>
      <c r="D72" s="152" t="s">
        <v>186</v>
      </c>
      <c r="E72" s="196">
        <v>50</v>
      </c>
      <c r="F72" s="215"/>
      <c r="G72" s="169">
        <f t="shared" si="0"/>
        <v>0</v>
      </c>
      <c r="H72" s="178">
        <f t="shared" si="1"/>
        <v>0</v>
      </c>
      <c r="J72" s="149">
        <f t="shared" si="3"/>
        <v>37.5</v>
      </c>
      <c r="K72" s="169">
        <v>150</v>
      </c>
    </row>
    <row r="73" spans="1:11" outlineLevel="2" x14ac:dyDescent="0.25">
      <c r="A73" s="152" t="s">
        <v>209</v>
      </c>
      <c r="B73" s="150" t="s">
        <v>210</v>
      </c>
      <c r="C73" s="150" t="s">
        <v>211</v>
      </c>
      <c r="D73" s="150" t="s">
        <v>186</v>
      </c>
      <c r="E73" s="199">
        <f>E24*1.1</f>
        <v>47.300000000000004</v>
      </c>
      <c r="F73" s="215"/>
      <c r="G73" s="169">
        <f t="shared" ref="G73:G105" si="4">E73*F73</f>
        <v>0</v>
      </c>
      <c r="H73" s="178">
        <f t="shared" ref="H73:H105" si="5">G73/$H$2</f>
        <v>0</v>
      </c>
      <c r="J73" s="149">
        <f t="shared" si="3"/>
        <v>500</v>
      </c>
      <c r="K73" s="169">
        <v>2000</v>
      </c>
    </row>
    <row r="74" spans="1:11" outlineLevel="2" x14ac:dyDescent="0.25">
      <c r="A74" s="152" t="s">
        <v>212</v>
      </c>
      <c r="B74" s="152" t="s">
        <v>927</v>
      </c>
      <c r="C74" s="152" t="s">
        <v>213</v>
      </c>
      <c r="D74" s="152" t="s">
        <v>205</v>
      </c>
      <c r="E74" s="196">
        <v>113</v>
      </c>
      <c r="F74" s="215"/>
      <c r="G74" s="169">
        <f t="shared" si="4"/>
        <v>0</v>
      </c>
      <c r="H74" s="178">
        <f t="shared" si="5"/>
        <v>0</v>
      </c>
      <c r="J74" s="149">
        <f t="shared" si="3"/>
        <v>75</v>
      </c>
      <c r="K74" s="169">
        <v>300</v>
      </c>
    </row>
    <row r="75" spans="1:11" ht="21.6" customHeight="1" outlineLevel="2" x14ac:dyDescent="0.25">
      <c r="A75" s="152" t="s">
        <v>214</v>
      </c>
      <c r="B75" s="150" t="s">
        <v>215</v>
      </c>
      <c r="C75" s="150" t="s">
        <v>216</v>
      </c>
      <c r="D75" s="150" t="s">
        <v>10</v>
      </c>
      <c r="E75" s="199">
        <f>(E14+E16)*300+(8*120)</f>
        <v>6037.4999999999991</v>
      </c>
      <c r="F75" s="215"/>
      <c r="G75" s="169">
        <f t="shared" si="4"/>
        <v>0</v>
      </c>
      <c r="H75" s="178">
        <f t="shared" si="5"/>
        <v>0</v>
      </c>
      <c r="J75" s="149">
        <f t="shared" si="3"/>
        <v>5</v>
      </c>
      <c r="K75" s="169">
        <v>20</v>
      </c>
    </row>
    <row r="76" spans="1:11" outlineLevel="2" x14ac:dyDescent="0.25">
      <c r="A76" s="152" t="s">
        <v>217</v>
      </c>
      <c r="B76" s="152" t="s">
        <v>218</v>
      </c>
      <c r="C76" s="152" t="s">
        <v>219</v>
      </c>
      <c r="D76" s="152" t="s">
        <v>202</v>
      </c>
      <c r="E76" s="196">
        <v>0.4</v>
      </c>
      <c r="F76" s="215"/>
      <c r="G76" s="169">
        <f t="shared" si="4"/>
        <v>0</v>
      </c>
      <c r="H76" s="178">
        <f t="shared" si="5"/>
        <v>0</v>
      </c>
      <c r="J76" s="149">
        <f t="shared" si="3"/>
        <v>22750</v>
      </c>
      <c r="K76" s="169">
        <v>91000</v>
      </c>
    </row>
    <row r="77" spans="1:11" outlineLevel="2" x14ac:dyDescent="0.25">
      <c r="A77" s="152" t="s">
        <v>220</v>
      </c>
      <c r="B77" s="152" t="s">
        <v>221</v>
      </c>
      <c r="C77" s="152" t="s">
        <v>222</v>
      </c>
      <c r="D77" s="152" t="s">
        <v>223</v>
      </c>
      <c r="E77" s="196">
        <v>7</v>
      </c>
      <c r="F77" s="215"/>
      <c r="G77" s="169">
        <f t="shared" si="4"/>
        <v>0</v>
      </c>
      <c r="H77" s="178">
        <f t="shared" si="5"/>
        <v>0</v>
      </c>
      <c r="J77" s="149">
        <f t="shared" si="3"/>
        <v>1125</v>
      </c>
      <c r="K77" s="169">
        <v>4500</v>
      </c>
    </row>
    <row r="78" spans="1:11" outlineLevel="2" x14ac:dyDescent="0.25">
      <c r="A78" s="152" t="s">
        <v>224</v>
      </c>
      <c r="B78" s="152" t="s">
        <v>928</v>
      </c>
      <c r="C78" s="152" t="s">
        <v>225</v>
      </c>
      <c r="D78" s="152" t="s">
        <v>226</v>
      </c>
      <c r="E78" s="196">
        <v>1.3365000000000005</v>
      </c>
      <c r="F78" s="215"/>
      <c r="G78" s="169">
        <f t="shared" si="4"/>
        <v>0</v>
      </c>
      <c r="H78" s="178">
        <f t="shared" si="5"/>
        <v>0</v>
      </c>
      <c r="J78" s="149">
        <f t="shared" si="3"/>
        <v>250</v>
      </c>
      <c r="K78" s="169">
        <v>1000</v>
      </c>
    </row>
    <row r="79" spans="1:11" outlineLevel="2" x14ac:dyDescent="0.25">
      <c r="A79" s="152" t="s">
        <v>227</v>
      </c>
      <c r="B79" s="152" t="s">
        <v>929</v>
      </c>
      <c r="C79" s="152" t="s">
        <v>228</v>
      </c>
      <c r="D79" s="152" t="s">
        <v>205</v>
      </c>
      <c r="E79" s="196">
        <f>E20</f>
        <v>104.80000000000001</v>
      </c>
      <c r="F79" s="215"/>
      <c r="G79" s="169">
        <f>E79*F79</f>
        <v>0</v>
      </c>
      <c r="H79" s="178">
        <f t="shared" si="5"/>
        <v>0</v>
      </c>
      <c r="J79" s="149">
        <f t="shared" si="3"/>
        <v>12.5</v>
      </c>
      <c r="K79" s="169">
        <v>50</v>
      </c>
    </row>
    <row r="80" spans="1:11" outlineLevel="2" x14ac:dyDescent="0.25">
      <c r="A80" s="152" t="s">
        <v>229</v>
      </c>
      <c r="B80" s="152" t="s">
        <v>930</v>
      </c>
      <c r="C80" s="152" t="s">
        <v>230</v>
      </c>
      <c r="D80" s="152" t="s">
        <v>205</v>
      </c>
      <c r="E80" s="196">
        <f>E79</f>
        <v>104.80000000000001</v>
      </c>
      <c r="F80" s="215"/>
      <c r="G80" s="169">
        <f>E80*F80</f>
        <v>0</v>
      </c>
      <c r="H80" s="178">
        <f t="shared" si="5"/>
        <v>0</v>
      </c>
      <c r="J80" s="149">
        <f t="shared" si="3"/>
        <v>12.5</v>
      </c>
      <c r="K80" s="169">
        <v>50</v>
      </c>
    </row>
    <row r="81" spans="1:11" outlineLevel="2" x14ac:dyDescent="0.25">
      <c r="A81" s="152" t="s">
        <v>231</v>
      </c>
      <c r="B81" s="152" t="s">
        <v>232</v>
      </c>
      <c r="C81" s="152" t="s">
        <v>233</v>
      </c>
      <c r="D81" s="152" t="s">
        <v>102</v>
      </c>
      <c r="E81" s="196">
        <v>40</v>
      </c>
      <c r="F81" s="215"/>
      <c r="G81" s="169">
        <f t="shared" si="4"/>
        <v>0</v>
      </c>
      <c r="H81" s="178">
        <f t="shared" si="5"/>
        <v>0</v>
      </c>
      <c r="J81" s="149">
        <f t="shared" si="3"/>
        <v>50</v>
      </c>
      <c r="K81" s="169">
        <v>200</v>
      </c>
    </row>
    <row r="82" spans="1:11" outlineLevel="2" x14ac:dyDescent="0.25">
      <c r="A82" s="152" t="s">
        <v>234</v>
      </c>
      <c r="B82" s="152" t="s">
        <v>235</v>
      </c>
      <c r="C82" s="152" t="s">
        <v>236</v>
      </c>
      <c r="D82" s="152" t="s">
        <v>102</v>
      </c>
      <c r="E82" s="196">
        <v>40</v>
      </c>
      <c r="F82" s="215"/>
      <c r="G82" s="169">
        <f t="shared" si="4"/>
        <v>0</v>
      </c>
      <c r="H82" s="178">
        <f t="shared" si="5"/>
        <v>0</v>
      </c>
      <c r="J82" s="149">
        <f t="shared" si="3"/>
        <v>125</v>
      </c>
      <c r="K82" s="169">
        <v>500</v>
      </c>
    </row>
    <row r="83" spans="1:11" ht="26.4" outlineLevel="2" x14ac:dyDescent="0.25">
      <c r="A83" s="152" t="s">
        <v>237</v>
      </c>
      <c r="B83" s="150" t="s">
        <v>238</v>
      </c>
      <c r="C83" s="150" t="s">
        <v>239</v>
      </c>
      <c r="D83" s="150" t="s">
        <v>186</v>
      </c>
      <c r="E83" s="199">
        <f>3.3*2</f>
        <v>6.6</v>
      </c>
      <c r="F83" s="215"/>
      <c r="G83" s="169">
        <f t="shared" si="4"/>
        <v>0</v>
      </c>
      <c r="H83" s="178">
        <f t="shared" si="5"/>
        <v>0</v>
      </c>
      <c r="J83" s="149">
        <f t="shared" si="3"/>
        <v>2250</v>
      </c>
      <c r="K83" s="169">
        <v>9000</v>
      </c>
    </row>
    <row r="84" spans="1:11" outlineLevel="2" x14ac:dyDescent="0.25">
      <c r="A84" s="152" t="s">
        <v>240</v>
      </c>
      <c r="B84" s="150" t="s">
        <v>241</v>
      </c>
      <c r="C84" s="150" t="s">
        <v>242</v>
      </c>
      <c r="D84" s="152" t="s">
        <v>102</v>
      </c>
      <c r="E84" s="199">
        <v>3.5</v>
      </c>
      <c r="F84" s="215"/>
      <c r="G84" s="169">
        <f t="shared" si="4"/>
        <v>0</v>
      </c>
      <c r="H84" s="178">
        <f t="shared" si="5"/>
        <v>0</v>
      </c>
      <c r="J84" s="149">
        <f t="shared" si="3"/>
        <v>250</v>
      </c>
      <c r="K84" s="169">
        <v>1000</v>
      </c>
    </row>
    <row r="85" spans="1:11" ht="13.2" customHeight="1" outlineLevel="2" x14ac:dyDescent="0.25">
      <c r="A85" s="152" t="s">
        <v>243</v>
      </c>
      <c r="B85" s="150" t="s">
        <v>244</v>
      </c>
      <c r="C85" s="150" t="s">
        <v>245</v>
      </c>
      <c r="D85" s="150" t="s">
        <v>10</v>
      </c>
      <c r="E85" s="199">
        <v>4</v>
      </c>
      <c r="F85" s="215"/>
      <c r="G85" s="169">
        <f t="shared" si="4"/>
        <v>0</v>
      </c>
      <c r="H85" s="178">
        <f t="shared" si="5"/>
        <v>0</v>
      </c>
      <c r="J85" s="149">
        <f t="shared" si="3"/>
        <v>50</v>
      </c>
      <c r="K85" s="169">
        <v>200</v>
      </c>
    </row>
    <row r="86" spans="1:11" ht="26.4" outlineLevel="2" x14ac:dyDescent="0.25">
      <c r="A86" s="152" t="s">
        <v>246</v>
      </c>
      <c r="B86" s="150" t="s">
        <v>247</v>
      </c>
      <c r="C86" s="150" t="s">
        <v>248</v>
      </c>
      <c r="D86" s="152" t="s">
        <v>102</v>
      </c>
      <c r="E86" s="199">
        <v>3.5</v>
      </c>
      <c r="F86" s="215"/>
      <c r="G86" s="169">
        <f t="shared" si="4"/>
        <v>0</v>
      </c>
      <c r="H86" s="178">
        <f t="shared" si="5"/>
        <v>0</v>
      </c>
      <c r="J86" s="149">
        <f t="shared" si="3"/>
        <v>162.5</v>
      </c>
      <c r="K86" s="169">
        <v>650</v>
      </c>
    </row>
    <row r="87" spans="1:11" outlineLevel="2" x14ac:dyDescent="0.25">
      <c r="A87" s="152" t="s">
        <v>249</v>
      </c>
      <c r="B87" s="150" t="s">
        <v>250</v>
      </c>
      <c r="C87" s="150" t="s">
        <v>251</v>
      </c>
      <c r="D87" s="150" t="s">
        <v>10</v>
      </c>
      <c r="E87" s="199">
        <v>2</v>
      </c>
      <c r="F87" s="215"/>
      <c r="G87" s="169">
        <f t="shared" si="4"/>
        <v>0</v>
      </c>
      <c r="H87" s="178">
        <f t="shared" si="5"/>
        <v>0</v>
      </c>
      <c r="J87" s="149">
        <f t="shared" si="3"/>
        <v>87.5</v>
      </c>
      <c r="K87" s="169">
        <v>350</v>
      </c>
    </row>
    <row r="88" spans="1:11" outlineLevel="2" x14ac:dyDescent="0.25">
      <c r="A88" s="152" t="s">
        <v>252</v>
      </c>
      <c r="B88" s="150" t="s">
        <v>253</v>
      </c>
      <c r="C88" s="150" t="s">
        <v>254</v>
      </c>
      <c r="D88" s="150" t="s">
        <v>10</v>
      </c>
      <c r="E88" s="199">
        <v>2</v>
      </c>
      <c r="F88" s="215"/>
      <c r="G88" s="169">
        <f t="shared" si="4"/>
        <v>0</v>
      </c>
      <c r="H88" s="178">
        <f t="shared" si="5"/>
        <v>0</v>
      </c>
      <c r="J88" s="149">
        <f t="shared" si="3"/>
        <v>125</v>
      </c>
      <c r="K88" s="169">
        <v>500</v>
      </c>
    </row>
    <row r="89" spans="1:11" outlineLevel="2" x14ac:dyDescent="0.25">
      <c r="A89" s="152" t="s">
        <v>255</v>
      </c>
      <c r="B89" s="150" t="s">
        <v>256</v>
      </c>
      <c r="C89" s="150" t="s">
        <v>257</v>
      </c>
      <c r="D89" s="150" t="s">
        <v>186</v>
      </c>
      <c r="E89" s="199">
        <v>42</v>
      </c>
      <c r="F89" s="215"/>
      <c r="G89" s="169">
        <f>E89*F89</f>
        <v>0</v>
      </c>
      <c r="H89" s="178">
        <f t="shared" si="5"/>
        <v>0</v>
      </c>
      <c r="J89" s="149">
        <f t="shared" si="3"/>
        <v>87.5</v>
      </c>
      <c r="K89" s="169">
        <v>350</v>
      </c>
    </row>
    <row r="90" spans="1:11" outlineLevel="2" x14ac:dyDescent="0.25">
      <c r="A90" s="152" t="s">
        <v>258</v>
      </c>
      <c r="B90" s="150" t="s">
        <v>259</v>
      </c>
      <c r="C90" s="150" t="s">
        <v>260</v>
      </c>
      <c r="D90" s="150" t="s">
        <v>137</v>
      </c>
      <c r="E90" s="199">
        <v>1</v>
      </c>
      <c r="F90" s="215"/>
      <c r="G90" s="169">
        <f>E90*F90</f>
        <v>0</v>
      </c>
      <c r="H90" s="178">
        <f t="shared" si="5"/>
        <v>0</v>
      </c>
      <c r="J90" s="149">
        <f t="shared" si="3"/>
        <v>1250</v>
      </c>
      <c r="K90" s="169">
        <v>5000</v>
      </c>
    </row>
    <row r="91" spans="1:11" outlineLevel="2" x14ac:dyDescent="0.25">
      <c r="A91" s="152" t="s">
        <v>261</v>
      </c>
      <c r="B91" s="150" t="s">
        <v>262</v>
      </c>
      <c r="C91" s="150" t="s">
        <v>263</v>
      </c>
      <c r="D91" s="150" t="s">
        <v>223</v>
      </c>
      <c r="E91" s="199">
        <v>6</v>
      </c>
      <c r="F91" s="215"/>
      <c r="G91" s="169">
        <f t="shared" si="4"/>
        <v>0</v>
      </c>
      <c r="H91" s="178">
        <f t="shared" si="5"/>
        <v>0</v>
      </c>
      <c r="J91" s="149">
        <f t="shared" si="3"/>
        <v>1500</v>
      </c>
      <c r="K91" s="169">
        <v>6000</v>
      </c>
    </row>
    <row r="92" spans="1:11" outlineLevel="2" x14ac:dyDescent="0.25">
      <c r="A92" s="152" t="s">
        <v>264</v>
      </c>
      <c r="B92" s="150" t="s">
        <v>265</v>
      </c>
      <c r="C92" s="150" t="s">
        <v>266</v>
      </c>
      <c r="D92" s="150" t="s">
        <v>10</v>
      </c>
      <c r="E92" s="199">
        <v>1</v>
      </c>
      <c r="F92" s="215"/>
      <c r="G92" s="169">
        <f t="shared" si="4"/>
        <v>0</v>
      </c>
      <c r="H92" s="178">
        <f t="shared" si="5"/>
        <v>0</v>
      </c>
      <c r="J92" s="149">
        <f t="shared" si="3"/>
        <v>7500</v>
      </c>
      <c r="K92" s="169">
        <v>30000</v>
      </c>
    </row>
    <row r="93" spans="1:11" outlineLevel="2" x14ac:dyDescent="0.25">
      <c r="A93" s="152" t="s">
        <v>267</v>
      </c>
      <c r="B93" s="150" t="s">
        <v>268</v>
      </c>
      <c r="C93" s="150" t="s">
        <v>269</v>
      </c>
      <c r="D93" s="150" t="s">
        <v>10</v>
      </c>
      <c r="E93" s="199">
        <v>1</v>
      </c>
      <c r="F93" s="215"/>
      <c r="G93" s="169">
        <f t="shared" si="4"/>
        <v>0</v>
      </c>
      <c r="H93" s="178">
        <f t="shared" si="5"/>
        <v>0</v>
      </c>
      <c r="J93" s="149">
        <f t="shared" si="3"/>
        <v>3000</v>
      </c>
      <c r="K93" s="169">
        <v>12000</v>
      </c>
    </row>
    <row r="94" spans="1:11" outlineLevel="2" x14ac:dyDescent="0.25">
      <c r="A94" s="152" t="s">
        <v>270</v>
      </c>
      <c r="B94" s="152" t="s">
        <v>271</v>
      </c>
      <c r="C94" s="152" t="s">
        <v>272</v>
      </c>
      <c r="D94" s="150" t="s">
        <v>137</v>
      </c>
      <c r="E94" s="199">
        <v>1</v>
      </c>
      <c r="F94" s="215"/>
      <c r="G94" s="169">
        <f t="shared" si="4"/>
        <v>0</v>
      </c>
      <c r="H94" s="178">
        <f t="shared" si="5"/>
        <v>0</v>
      </c>
      <c r="J94" s="149">
        <f t="shared" si="3"/>
        <v>12500</v>
      </c>
      <c r="K94" s="169">
        <v>50000</v>
      </c>
    </row>
    <row r="95" spans="1:11" outlineLevel="2" x14ac:dyDescent="0.25">
      <c r="A95" s="152" t="s">
        <v>273</v>
      </c>
      <c r="B95" s="160" t="s">
        <v>274</v>
      </c>
      <c r="C95" s="160"/>
      <c r="D95" s="161"/>
      <c r="E95" s="206"/>
      <c r="F95" s="216"/>
      <c r="G95" s="162"/>
      <c r="H95" s="182"/>
      <c r="J95" s="149">
        <f t="shared" si="3"/>
        <v>0</v>
      </c>
      <c r="K95" s="162"/>
    </row>
    <row r="96" spans="1:11" outlineLevel="2" x14ac:dyDescent="0.25">
      <c r="A96" s="152" t="s">
        <v>275</v>
      </c>
      <c r="B96" s="153" t="s">
        <v>276</v>
      </c>
      <c r="C96" s="153" t="s">
        <v>277</v>
      </c>
      <c r="D96" s="153" t="s">
        <v>186</v>
      </c>
      <c r="E96" s="207">
        <f>450/4</f>
        <v>112.5</v>
      </c>
      <c r="F96" s="215"/>
      <c r="G96" s="169">
        <f t="shared" si="4"/>
        <v>0</v>
      </c>
      <c r="H96" s="178">
        <f t="shared" si="5"/>
        <v>0</v>
      </c>
      <c r="J96" s="149">
        <f t="shared" si="3"/>
        <v>37.5</v>
      </c>
      <c r="K96" s="169">
        <v>150</v>
      </c>
    </row>
    <row r="97" spans="1:11" outlineLevel="2" x14ac:dyDescent="0.25">
      <c r="A97" s="152" t="s">
        <v>278</v>
      </c>
      <c r="B97" s="153" t="s">
        <v>279</v>
      </c>
      <c r="C97" s="153" t="s">
        <v>280</v>
      </c>
      <c r="D97" s="153" t="s">
        <v>223</v>
      </c>
      <c r="E97" s="207">
        <f>45/4</f>
        <v>11.25</v>
      </c>
      <c r="F97" s="215"/>
      <c r="G97" s="169">
        <f t="shared" si="4"/>
        <v>0</v>
      </c>
      <c r="H97" s="178">
        <f t="shared" si="5"/>
        <v>0</v>
      </c>
      <c r="J97" s="149">
        <f t="shared" si="3"/>
        <v>1050</v>
      </c>
      <c r="K97" s="169">
        <v>4200</v>
      </c>
    </row>
    <row r="98" spans="1:11" outlineLevel="2" x14ac:dyDescent="0.25">
      <c r="A98" s="152" t="s">
        <v>281</v>
      </c>
      <c r="B98" s="153" t="s">
        <v>282</v>
      </c>
      <c r="C98" s="153" t="s">
        <v>283</v>
      </c>
      <c r="D98" s="153" t="s">
        <v>186</v>
      </c>
      <c r="E98" s="207">
        <f>450/4</f>
        <v>112.5</v>
      </c>
      <c r="F98" s="215"/>
      <c r="G98" s="169">
        <f t="shared" si="4"/>
        <v>0</v>
      </c>
      <c r="H98" s="178">
        <f t="shared" si="5"/>
        <v>0</v>
      </c>
      <c r="J98" s="149">
        <f t="shared" si="3"/>
        <v>50</v>
      </c>
      <c r="K98" s="169">
        <v>200</v>
      </c>
    </row>
    <row r="99" spans="1:11" outlineLevel="2" x14ac:dyDescent="0.25">
      <c r="A99" s="152" t="s">
        <v>284</v>
      </c>
      <c r="B99" s="153" t="s">
        <v>285</v>
      </c>
      <c r="C99" s="153" t="s">
        <v>286</v>
      </c>
      <c r="D99" s="153" t="s">
        <v>186</v>
      </c>
      <c r="E99" s="207">
        <f>650/5.9</f>
        <v>110.16949152542372</v>
      </c>
      <c r="F99" s="215"/>
      <c r="G99" s="169">
        <f t="shared" si="4"/>
        <v>0</v>
      </c>
      <c r="H99" s="178">
        <f t="shared" si="5"/>
        <v>0</v>
      </c>
      <c r="J99" s="149">
        <f t="shared" si="3"/>
        <v>325</v>
      </c>
      <c r="K99" s="169">
        <v>1300</v>
      </c>
    </row>
    <row r="100" spans="1:11" outlineLevel="2" x14ac:dyDescent="0.25">
      <c r="A100" s="152" t="s">
        <v>287</v>
      </c>
      <c r="B100" s="153" t="s">
        <v>288</v>
      </c>
      <c r="C100" s="153" t="s">
        <v>289</v>
      </c>
      <c r="D100" s="153" t="s">
        <v>290</v>
      </c>
      <c r="E100" s="207">
        <f>40/5.9</f>
        <v>6.7796610169491522</v>
      </c>
      <c r="F100" s="215"/>
      <c r="G100" s="169">
        <f t="shared" si="4"/>
        <v>0</v>
      </c>
      <c r="H100" s="178">
        <f t="shared" si="5"/>
        <v>0</v>
      </c>
      <c r="J100" s="149">
        <f t="shared" si="3"/>
        <v>97.5</v>
      </c>
      <c r="K100" s="169">
        <v>390</v>
      </c>
    </row>
    <row r="101" spans="1:11" outlineLevel="2" x14ac:dyDescent="0.25">
      <c r="A101" s="152" t="s">
        <v>291</v>
      </c>
      <c r="B101" s="152" t="s">
        <v>271</v>
      </c>
      <c r="C101" s="152" t="s">
        <v>272</v>
      </c>
      <c r="D101" s="150" t="s">
        <v>137</v>
      </c>
      <c r="E101" s="199">
        <v>1</v>
      </c>
      <c r="F101" s="215"/>
      <c r="G101" s="169">
        <f t="shared" si="4"/>
        <v>0</v>
      </c>
      <c r="H101" s="178">
        <f t="shared" si="5"/>
        <v>0</v>
      </c>
      <c r="J101" s="149">
        <f t="shared" si="3"/>
        <v>6250</v>
      </c>
      <c r="K101" s="169">
        <v>25000</v>
      </c>
    </row>
    <row r="102" spans="1:11" outlineLevel="2" x14ac:dyDescent="0.25">
      <c r="A102" s="152" t="s">
        <v>292</v>
      </c>
      <c r="B102" s="160" t="s">
        <v>97</v>
      </c>
      <c r="C102" s="160"/>
      <c r="D102" s="161"/>
      <c r="E102" s="206"/>
      <c r="F102" s="216"/>
      <c r="G102" s="162"/>
      <c r="H102" s="182"/>
      <c r="J102" s="149">
        <f t="shared" si="3"/>
        <v>0</v>
      </c>
      <c r="K102" s="162"/>
    </row>
    <row r="103" spans="1:11" outlineLevel="2" x14ac:dyDescent="0.25">
      <c r="A103" s="152" t="s">
        <v>293</v>
      </c>
      <c r="B103" s="152" t="s">
        <v>294</v>
      </c>
      <c r="C103" s="152" t="s">
        <v>295</v>
      </c>
      <c r="D103" s="152" t="s">
        <v>290</v>
      </c>
      <c r="E103" s="208">
        <v>10</v>
      </c>
      <c r="F103" s="215"/>
      <c r="G103" s="169">
        <f t="shared" si="4"/>
        <v>0</v>
      </c>
      <c r="H103" s="178">
        <f t="shared" si="5"/>
        <v>0</v>
      </c>
      <c r="J103" s="149">
        <f t="shared" si="3"/>
        <v>25</v>
      </c>
      <c r="K103" s="169">
        <v>100</v>
      </c>
    </row>
    <row r="104" spans="1:11" outlineLevel="2" x14ac:dyDescent="0.25">
      <c r="A104" s="152" t="s">
        <v>296</v>
      </c>
      <c r="B104" s="152" t="s">
        <v>297</v>
      </c>
      <c r="C104" s="152" t="s">
        <v>298</v>
      </c>
      <c r="D104" s="152" t="s">
        <v>10</v>
      </c>
      <c r="E104" s="208">
        <v>3</v>
      </c>
      <c r="F104" s="215"/>
      <c r="G104" s="169">
        <f t="shared" si="4"/>
        <v>0</v>
      </c>
      <c r="H104" s="178">
        <f t="shared" si="5"/>
        <v>0</v>
      </c>
      <c r="J104" s="149">
        <f t="shared" si="3"/>
        <v>12.5</v>
      </c>
      <c r="K104" s="169">
        <v>50</v>
      </c>
    </row>
    <row r="105" spans="1:11" outlineLevel="2" x14ac:dyDescent="0.25">
      <c r="A105" s="152" t="s">
        <v>299</v>
      </c>
      <c r="B105" s="152" t="s">
        <v>300</v>
      </c>
      <c r="C105" s="152" t="s">
        <v>301</v>
      </c>
      <c r="D105" s="152" t="s">
        <v>10</v>
      </c>
      <c r="E105" s="208">
        <v>3</v>
      </c>
      <c r="F105" s="215"/>
      <c r="G105" s="169">
        <f t="shared" si="4"/>
        <v>0</v>
      </c>
      <c r="H105" s="178">
        <f t="shared" si="5"/>
        <v>0</v>
      </c>
      <c r="J105" s="149">
        <f t="shared" si="3"/>
        <v>125</v>
      </c>
      <c r="K105" s="169">
        <v>500</v>
      </c>
    </row>
    <row r="106" spans="1:11" outlineLevel="2" x14ac:dyDescent="0.25">
      <c r="A106" s="152" t="s">
        <v>302</v>
      </c>
      <c r="B106" s="152" t="s">
        <v>303</v>
      </c>
      <c r="C106" s="152" t="s">
        <v>304</v>
      </c>
      <c r="D106" s="152" t="s">
        <v>10</v>
      </c>
      <c r="E106" s="208">
        <v>3</v>
      </c>
      <c r="F106" s="215"/>
      <c r="G106" s="169">
        <f t="shared" ref="G106:G141" si="6">E106*F106</f>
        <v>0</v>
      </c>
      <c r="H106" s="178">
        <f t="shared" ref="H106:H145" si="7">G106/$H$2</f>
        <v>0</v>
      </c>
      <c r="J106" s="149">
        <f t="shared" si="3"/>
        <v>75</v>
      </c>
      <c r="K106" s="169">
        <v>300</v>
      </c>
    </row>
    <row r="107" spans="1:11" outlineLevel="2" x14ac:dyDescent="0.25">
      <c r="A107" s="152" t="s">
        <v>305</v>
      </c>
      <c r="B107" s="152" t="s">
        <v>306</v>
      </c>
      <c r="C107" s="152" t="s">
        <v>307</v>
      </c>
      <c r="D107" s="152" t="s">
        <v>10</v>
      </c>
      <c r="E107" s="208">
        <v>2</v>
      </c>
      <c r="F107" s="215"/>
      <c r="G107" s="169">
        <f t="shared" si="6"/>
        <v>0</v>
      </c>
      <c r="H107" s="178">
        <f t="shared" si="7"/>
        <v>0</v>
      </c>
      <c r="J107" s="149">
        <f t="shared" si="3"/>
        <v>25</v>
      </c>
      <c r="K107" s="169">
        <v>100</v>
      </c>
    </row>
    <row r="108" spans="1:11" outlineLevel="2" x14ac:dyDescent="0.25">
      <c r="A108" s="152" t="s">
        <v>308</v>
      </c>
      <c r="B108" s="152" t="s">
        <v>309</v>
      </c>
      <c r="C108" s="152" t="s">
        <v>310</v>
      </c>
      <c r="D108" s="152" t="s">
        <v>10</v>
      </c>
      <c r="E108" s="208">
        <v>3</v>
      </c>
      <c r="F108" s="215"/>
      <c r="G108" s="169">
        <f t="shared" si="6"/>
        <v>0</v>
      </c>
      <c r="H108" s="178">
        <f t="shared" si="7"/>
        <v>0</v>
      </c>
      <c r="J108" s="149">
        <f t="shared" si="3"/>
        <v>12.5</v>
      </c>
      <c r="K108" s="169">
        <v>50</v>
      </c>
    </row>
    <row r="109" spans="1:11" outlineLevel="2" x14ac:dyDescent="0.25">
      <c r="A109" s="152" t="s">
        <v>311</v>
      </c>
      <c r="B109" s="152" t="s">
        <v>312</v>
      </c>
      <c r="C109" s="152" t="s">
        <v>313</v>
      </c>
      <c r="D109" s="152" t="s">
        <v>10</v>
      </c>
      <c r="E109" s="208">
        <v>1</v>
      </c>
      <c r="F109" s="215"/>
      <c r="G109" s="169">
        <f t="shared" si="6"/>
        <v>0</v>
      </c>
      <c r="H109" s="178">
        <f t="shared" si="7"/>
        <v>0</v>
      </c>
      <c r="J109" s="149">
        <f t="shared" si="3"/>
        <v>1250</v>
      </c>
      <c r="K109" s="169">
        <v>5000</v>
      </c>
    </row>
    <row r="110" spans="1:11" outlineLevel="2" x14ac:dyDescent="0.25">
      <c r="A110" s="152" t="s">
        <v>314</v>
      </c>
      <c r="B110" s="152" t="s">
        <v>315</v>
      </c>
      <c r="C110" s="152" t="s">
        <v>316</v>
      </c>
      <c r="D110" s="152" t="s">
        <v>10</v>
      </c>
      <c r="E110" s="208">
        <v>1</v>
      </c>
      <c r="F110" s="215"/>
      <c r="G110" s="169">
        <f t="shared" si="6"/>
        <v>0</v>
      </c>
      <c r="H110" s="178">
        <f t="shared" si="7"/>
        <v>0</v>
      </c>
      <c r="J110" s="149">
        <f t="shared" si="3"/>
        <v>4000</v>
      </c>
      <c r="K110" s="169">
        <v>16000</v>
      </c>
    </row>
    <row r="111" spans="1:11" outlineLevel="2" x14ac:dyDescent="0.25">
      <c r="A111" s="152" t="s">
        <v>317</v>
      </c>
      <c r="B111" s="152" t="s">
        <v>318</v>
      </c>
      <c r="C111" s="152" t="s">
        <v>319</v>
      </c>
      <c r="D111" s="152" t="s">
        <v>10</v>
      </c>
      <c r="E111" s="208">
        <v>1</v>
      </c>
      <c r="F111" s="215"/>
      <c r="G111" s="169">
        <f t="shared" si="6"/>
        <v>0</v>
      </c>
      <c r="H111" s="178">
        <f t="shared" si="7"/>
        <v>0</v>
      </c>
      <c r="J111" s="149">
        <f t="shared" si="3"/>
        <v>1750</v>
      </c>
      <c r="K111" s="169">
        <v>7000</v>
      </c>
    </row>
    <row r="112" spans="1:11" outlineLevel="2" x14ac:dyDescent="0.25">
      <c r="A112" s="152" t="s">
        <v>320</v>
      </c>
      <c r="B112" s="152" t="s">
        <v>321</v>
      </c>
      <c r="C112" s="152" t="s">
        <v>322</v>
      </c>
      <c r="D112" s="152" t="s">
        <v>290</v>
      </c>
      <c r="E112" s="208">
        <v>10</v>
      </c>
      <c r="F112" s="215"/>
      <c r="G112" s="169">
        <f t="shared" si="6"/>
        <v>0</v>
      </c>
      <c r="H112" s="178">
        <f t="shared" si="7"/>
        <v>0</v>
      </c>
      <c r="J112" s="149">
        <f t="shared" si="3"/>
        <v>37.5</v>
      </c>
      <c r="K112" s="169">
        <v>150</v>
      </c>
    </row>
    <row r="113" spans="1:13" outlineLevel="2" x14ac:dyDescent="0.25">
      <c r="A113" s="152" t="s">
        <v>323</v>
      </c>
      <c r="B113" s="152" t="s">
        <v>324</v>
      </c>
      <c r="C113" s="152" t="s">
        <v>325</v>
      </c>
      <c r="D113" s="152" t="s">
        <v>290</v>
      </c>
      <c r="E113" s="208">
        <v>4</v>
      </c>
      <c r="F113" s="215"/>
      <c r="G113" s="169">
        <f t="shared" si="6"/>
        <v>0</v>
      </c>
      <c r="H113" s="178">
        <f t="shared" si="7"/>
        <v>0</v>
      </c>
      <c r="J113" s="149">
        <f t="shared" si="3"/>
        <v>50</v>
      </c>
      <c r="K113" s="169">
        <v>200</v>
      </c>
    </row>
    <row r="114" spans="1:13" outlineLevel="2" x14ac:dyDescent="0.25">
      <c r="A114" s="152" t="s">
        <v>326</v>
      </c>
      <c r="B114" s="152" t="s">
        <v>327</v>
      </c>
      <c r="C114" s="152" t="s">
        <v>328</v>
      </c>
      <c r="D114" s="152" t="s">
        <v>10</v>
      </c>
      <c r="E114" s="208">
        <v>1</v>
      </c>
      <c r="F114" s="215"/>
      <c r="G114" s="169">
        <f t="shared" si="6"/>
        <v>0</v>
      </c>
      <c r="H114" s="178">
        <f t="shared" si="7"/>
        <v>0</v>
      </c>
      <c r="J114" s="149">
        <f t="shared" si="3"/>
        <v>50</v>
      </c>
      <c r="K114" s="169">
        <v>200</v>
      </c>
    </row>
    <row r="115" spans="1:13" outlineLevel="2" x14ac:dyDescent="0.25">
      <c r="A115" s="152" t="s">
        <v>329</v>
      </c>
      <c r="B115" s="152" t="s">
        <v>330</v>
      </c>
      <c r="C115" s="152" t="s">
        <v>331</v>
      </c>
      <c r="D115" s="152" t="s">
        <v>290</v>
      </c>
      <c r="E115" s="208">
        <v>1</v>
      </c>
      <c r="F115" s="215"/>
      <c r="G115" s="169">
        <f t="shared" si="6"/>
        <v>0</v>
      </c>
      <c r="H115" s="178">
        <f t="shared" si="7"/>
        <v>0</v>
      </c>
      <c r="J115" s="149">
        <f t="shared" si="3"/>
        <v>62.5</v>
      </c>
      <c r="K115" s="169">
        <v>250</v>
      </c>
    </row>
    <row r="116" spans="1:13" outlineLevel="2" x14ac:dyDescent="0.25">
      <c r="A116" s="152" t="s">
        <v>332</v>
      </c>
      <c r="B116" s="152" t="s">
        <v>333</v>
      </c>
      <c r="C116" s="152" t="s">
        <v>334</v>
      </c>
      <c r="D116" s="152" t="s">
        <v>10</v>
      </c>
      <c r="E116" s="208">
        <v>1</v>
      </c>
      <c r="F116" s="215"/>
      <c r="G116" s="169">
        <f t="shared" si="6"/>
        <v>0</v>
      </c>
      <c r="H116" s="178">
        <f t="shared" si="7"/>
        <v>0</v>
      </c>
      <c r="J116" s="149">
        <f t="shared" si="3"/>
        <v>50</v>
      </c>
      <c r="K116" s="169">
        <v>200</v>
      </c>
    </row>
    <row r="117" spans="1:13" outlineLevel="2" x14ac:dyDescent="0.25">
      <c r="A117" s="152" t="s">
        <v>335</v>
      </c>
      <c r="B117" s="152" t="s">
        <v>336</v>
      </c>
      <c r="C117" s="152" t="s">
        <v>337</v>
      </c>
      <c r="D117" s="152" t="s">
        <v>10</v>
      </c>
      <c r="E117" s="208">
        <v>1</v>
      </c>
      <c r="F117" s="215"/>
      <c r="G117" s="169">
        <f t="shared" si="6"/>
        <v>0</v>
      </c>
      <c r="H117" s="178">
        <f t="shared" si="7"/>
        <v>0</v>
      </c>
      <c r="J117" s="149">
        <f t="shared" si="3"/>
        <v>50</v>
      </c>
      <c r="K117" s="169">
        <v>200</v>
      </c>
    </row>
    <row r="118" spans="1:13" outlineLevel="2" x14ac:dyDescent="0.25">
      <c r="A118" s="152" t="s">
        <v>338</v>
      </c>
      <c r="B118" s="152" t="s">
        <v>339</v>
      </c>
      <c r="C118" s="152" t="s">
        <v>340</v>
      </c>
      <c r="D118" s="152" t="s">
        <v>10</v>
      </c>
      <c r="E118" s="208">
        <v>1</v>
      </c>
      <c r="F118" s="215"/>
      <c r="G118" s="169">
        <f t="shared" si="6"/>
        <v>0</v>
      </c>
      <c r="H118" s="178">
        <f t="shared" si="7"/>
        <v>0</v>
      </c>
      <c r="J118" s="149">
        <f t="shared" si="3"/>
        <v>50</v>
      </c>
      <c r="K118" s="169">
        <v>200</v>
      </c>
    </row>
    <row r="119" spans="1:13" outlineLevel="2" x14ac:dyDescent="0.25">
      <c r="A119" s="152" t="s">
        <v>341</v>
      </c>
      <c r="B119" s="152" t="s">
        <v>342</v>
      </c>
      <c r="C119" s="152" t="s">
        <v>343</v>
      </c>
      <c r="D119" s="152" t="s">
        <v>10</v>
      </c>
      <c r="E119" s="208">
        <v>1</v>
      </c>
      <c r="F119" s="215"/>
      <c r="G119" s="169">
        <f t="shared" si="6"/>
        <v>0</v>
      </c>
      <c r="H119" s="178">
        <f t="shared" si="7"/>
        <v>0</v>
      </c>
      <c r="J119" s="149">
        <f t="shared" si="3"/>
        <v>1750</v>
      </c>
      <c r="K119" s="169">
        <v>7000</v>
      </c>
    </row>
    <row r="120" spans="1:13" outlineLevel="2" x14ac:dyDescent="0.25">
      <c r="A120" s="152" t="s">
        <v>344</v>
      </c>
      <c r="B120" s="152" t="s">
        <v>345</v>
      </c>
      <c r="C120" s="152" t="s">
        <v>346</v>
      </c>
      <c r="D120" s="152" t="s">
        <v>10</v>
      </c>
      <c r="E120" s="208">
        <v>60</v>
      </c>
      <c r="F120" s="215"/>
      <c r="G120" s="169">
        <f t="shared" si="6"/>
        <v>0</v>
      </c>
      <c r="H120" s="178">
        <f t="shared" si="7"/>
        <v>0</v>
      </c>
      <c r="J120" s="149">
        <f t="shared" si="3"/>
        <v>3.75</v>
      </c>
      <c r="K120" s="169">
        <v>15</v>
      </c>
    </row>
    <row r="121" spans="1:13" outlineLevel="2" x14ac:dyDescent="0.25">
      <c r="A121" s="152" t="s">
        <v>347</v>
      </c>
      <c r="B121" s="152" t="s">
        <v>348</v>
      </c>
      <c r="C121" s="152" t="s">
        <v>349</v>
      </c>
      <c r="D121" s="152" t="s">
        <v>223</v>
      </c>
      <c r="E121" s="208">
        <v>0.2</v>
      </c>
      <c r="F121" s="215"/>
      <c r="G121" s="169">
        <f t="shared" si="6"/>
        <v>0</v>
      </c>
      <c r="H121" s="178">
        <f t="shared" si="7"/>
        <v>0</v>
      </c>
      <c r="J121" s="149">
        <f t="shared" si="3"/>
        <v>1375</v>
      </c>
      <c r="K121" s="169">
        <v>5500</v>
      </c>
    </row>
    <row r="122" spans="1:13" outlineLevel="2" x14ac:dyDescent="0.25">
      <c r="A122" s="152" t="s">
        <v>350</v>
      </c>
      <c r="B122" s="152" t="s">
        <v>351</v>
      </c>
      <c r="C122" s="152" t="s">
        <v>352</v>
      </c>
      <c r="D122" s="152" t="s">
        <v>290</v>
      </c>
      <c r="E122" s="208">
        <v>30</v>
      </c>
      <c r="F122" s="215"/>
      <c r="G122" s="169">
        <f t="shared" si="6"/>
        <v>0</v>
      </c>
      <c r="H122" s="178">
        <f t="shared" si="7"/>
        <v>0</v>
      </c>
      <c r="J122" s="149">
        <f t="shared" si="3"/>
        <v>87.5</v>
      </c>
      <c r="K122" s="169">
        <v>350</v>
      </c>
      <c r="M122" s="192"/>
    </row>
    <row r="123" spans="1:13" outlineLevel="2" x14ac:dyDescent="0.25">
      <c r="A123" s="152" t="s">
        <v>353</v>
      </c>
      <c r="B123" s="152" t="s">
        <v>354</v>
      </c>
      <c r="C123" s="152" t="s">
        <v>355</v>
      </c>
      <c r="D123" s="152" t="s">
        <v>10</v>
      </c>
      <c r="E123" s="208">
        <v>20</v>
      </c>
      <c r="F123" s="215"/>
      <c r="G123" s="169">
        <f t="shared" si="6"/>
        <v>0</v>
      </c>
      <c r="H123" s="178">
        <f t="shared" si="7"/>
        <v>0</v>
      </c>
      <c r="J123" s="149">
        <f t="shared" si="3"/>
        <v>62.5</v>
      </c>
      <c r="K123" s="169">
        <v>250</v>
      </c>
    </row>
    <row r="124" spans="1:13" outlineLevel="2" x14ac:dyDescent="0.25">
      <c r="A124" s="152" t="s">
        <v>356</v>
      </c>
      <c r="B124" s="152" t="s">
        <v>357</v>
      </c>
      <c r="C124" s="152" t="s">
        <v>358</v>
      </c>
      <c r="D124" s="152" t="s">
        <v>10</v>
      </c>
      <c r="E124" s="208">
        <v>5</v>
      </c>
      <c r="F124" s="215"/>
      <c r="G124" s="169">
        <f t="shared" si="6"/>
        <v>0</v>
      </c>
      <c r="H124" s="178">
        <f t="shared" si="7"/>
        <v>0</v>
      </c>
      <c r="J124" s="149">
        <f t="shared" si="3"/>
        <v>125</v>
      </c>
      <c r="K124" s="169">
        <v>500</v>
      </c>
    </row>
    <row r="125" spans="1:13" outlineLevel="2" x14ac:dyDescent="0.25">
      <c r="A125" s="152" t="s">
        <v>359</v>
      </c>
      <c r="B125" s="152" t="s">
        <v>360</v>
      </c>
      <c r="C125" s="152" t="s">
        <v>361</v>
      </c>
      <c r="D125" s="152" t="s">
        <v>10</v>
      </c>
      <c r="E125" s="208">
        <v>14</v>
      </c>
      <c r="F125" s="215"/>
      <c r="G125" s="169">
        <f t="shared" si="6"/>
        <v>0</v>
      </c>
      <c r="H125" s="178">
        <f t="shared" si="7"/>
        <v>0</v>
      </c>
      <c r="J125" s="149">
        <f t="shared" si="3"/>
        <v>62.5</v>
      </c>
      <c r="K125" s="169">
        <v>250</v>
      </c>
    </row>
    <row r="126" spans="1:13" outlineLevel="2" x14ac:dyDescent="0.25">
      <c r="A126" s="152" t="s">
        <v>362</v>
      </c>
      <c r="B126" s="152" t="s">
        <v>363</v>
      </c>
      <c r="C126" s="152" t="s">
        <v>364</v>
      </c>
      <c r="D126" s="152" t="s">
        <v>365</v>
      </c>
      <c r="E126" s="208">
        <v>16</v>
      </c>
      <c r="F126" s="215"/>
      <c r="G126" s="169">
        <f t="shared" si="6"/>
        <v>0</v>
      </c>
      <c r="H126" s="178">
        <f t="shared" si="7"/>
        <v>0</v>
      </c>
      <c r="J126" s="149">
        <f t="shared" si="3"/>
        <v>875</v>
      </c>
      <c r="K126" s="169">
        <v>3500</v>
      </c>
    </row>
    <row r="127" spans="1:13" x14ac:dyDescent="0.25">
      <c r="A127" s="152" t="s">
        <v>366</v>
      </c>
      <c r="B127" s="152" t="s">
        <v>367</v>
      </c>
      <c r="C127" s="152" t="s">
        <v>368</v>
      </c>
      <c r="D127" s="152" t="s">
        <v>10</v>
      </c>
      <c r="E127" s="208">
        <v>2</v>
      </c>
      <c r="F127" s="215"/>
      <c r="G127" s="169">
        <f t="shared" si="6"/>
        <v>0</v>
      </c>
      <c r="H127" s="178">
        <f t="shared" si="7"/>
        <v>0</v>
      </c>
      <c r="J127" s="149">
        <f t="shared" si="3"/>
        <v>62.5</v>
      </c>
      <c r="K127" s="169">
        <v>250</v>
      </c>
    </row>
    <row r="128" spans="1:13" x14ac:dyDescent="0.25">
      <c r="A128" s="152" t="s">
        <v>369</v>
      </c>
      <c r="B128" s="152" t="s">
        <v>271</v>
      </c>
      <c r="C128" s="152" t="s">
        <v>272</v>
      </c>
      <c r="D128" s="150" t="s">
        <v>137</v>
      </c>
      <c r="E128" s="199">
        <v>1</v>
      </c>
      <c r="F128" s="215"/>
      <c r="G128" s="169">
        <f t="shared" si="6"/>
        <v>0</v>
      </c>
      <c r="H128" s="178">
        <f t="shared" si="7"/>
        <v>0</v>
      </c>
      <c r="J128" s="149">
        <f t="shared" si="3"/>
        <v>6250</v>
      </c>
      <c r="K128" s="169">
        <v>25000</v>
      </c>
    </row>
    <row r="129" spans="1:11" x14ac:dyDescent="0.25">
      <c r="A129" s="152" t="s">
        <v>370</v>
      </c>
      <c r="B129" s="160" t="s">
        <v>132</v>
      </c>
      <c r="C129" s="160"/>
      <c r="D129" s="161"/>
      <c r="E129" s="206"/>
      <c r="F129" s="216"/>
      <c r="G129" s="162"/>
      <c r="H129" s="182"/>
      <c r="J129" s="149">
        <f t="shared" si="3"/>
        <v>0</v>
      </c>
      <c r="K129" s="162"/>
    </row>
    <row r="130" spans="1:11" x14ac:dyDescent="0.25">
      <c r="A130" s="152" t="s">
        <v>371</v>
      </c>
      <c r="B130" s="152" t="s">
        <v>372</v>
      </c>
      <c r="C130" s="152" t="s">
        <v>373</v>
      </c>
      <c r="D130" s="152" t="s">
        <v>290</v>
      </c>
      <c r="E130" s="208">
        <v>50</v>
      </c>
      <c r="F130" s="215"/>
      <c r="G130" s="169">
        <f t="shared" si="6"/>
        <v>0</v>
      </c>
      <c r="H130" s="178">
        <f t="shared" si="7"/>
        <v>0</v>
      </c>
      <c r="J130" s="149">
        <f t="shared" si="3"/>
        <v>150</v>
      </c>
      <c r="K130" s="169">
        <v>600</v>
      </c>
    </row>
    <row r="131" spans="1:11" ht="26.4" x14ac:dyDescent="0.25">
      <c r="A131" s="193" t="s">
        <v>374</v>
      </c>
      <c r="B131" s="193" t="s">
        <v>375</v>
      </c>
      <c r="C131" s="193" t="s">
        <v>376</v>
      </c>
      <c r="D131" s="193"/>
      <c r="E131" s="209"/>
      <c r="F131" s="218"/>
      <c r="G131" s="194"/>
      <c r="H131" s="195"/>
      <c r="J131" s="149">
        <f t="shared" si="3"/>
        <v>0</v>
      </c>
      <c r="K131" s="169"/>
    </row>
    <row r="132" spans="1:11" x14ac:dyDescent="0.25">
      <c r="A132" s="152" t="s">
        <v>377</v>
      </c>
      <c r="B132" s="152" t="s">
        <v>378</v>
      </c>
      <c r="C132" s="152" t="s">
        <v>379</v>
      </c>
      <c r="D132" s="152" t="s">
        <v>290</v>
      </c>
      <c r="E132" s="208">
        <v>60</v>
      </c>
      <c r="F132" s="215"/>
      <c r="G132" s="169">
        <f t="shared" si="6"/>
        <v>0</v>
      </c>
      <c r="H132" s="178">
        <f t="shared" si="7"/>
        <v>0</v>
      </c>
      <c r="J132" s="149">
        <f t="shared" si="3"/>
        <v>32.5</v>
      </c>
      <c r="K132" s="169">
        <v>130</v>
      </c>
    </row>
    <row r="133" spans="1:11" x14ac:dyDescent="0.25">
      <c r="A133" s="152" t="s">
        <v>380</v>
      </c>
      <c r="B133" s="152" t="s">
        <v>381</v>
      </c>
      <c r="C133" s="152" t="s">
        <v>382</v>
      </c>
      <c r="D133" s="152" t="s">
        <v>290</v>
      </c>
      <c r="E133" s="208">
        <v>50</v>
      </c>
      <c r="F133" s="215"/>
      <c r="G133" s="169">
        <f t="shared" si="6"/>
        <v>0</v>
      </c>
      <c r="H133" s="178">
        <f t="shared" si="7"/>
        <v>0</v>
      </c>
      <c r="J133" s="149">
        <f t="shared" si="3"/>
        <v>23.75</v>
      </c>
      <c r="K133" s="169">
        <v>95</v>
      </c>
    </row>
    <row r="134" spans="1:11" x14ac:dyDescent="0.25">
      <c r="A134" s="152" t="s">
        <v>383</v>
      </c>
      <c r="B134" s="152" t="s">
        <v>384</v>
      </c>
      <c r="C134" s="152" t="s">
        <v>385</v>
      </c>
      <c r="D134" s="152" t="s">
        <v>10</v>
      </c>
      <c r="E134" s="208">
        <v>1</v>
      </c>
      <c r="F134" s="215"/>
      <c r="G134" s="169">
        <f t="shared" si="6"/>
        <v>0</v>
      </c>
      <c r="H134" s="178">
        <f t="shared" si="7"/>
        <v>0</v>
      </c>
      <c r="J134" s="149">
        <f t="shared" si="3"/>
        <v>1250</v>
      </c>
      <c r="K134" s="169">
        <v>5000</v>
      </c>
    </row>
    <row r="135" spans="1:11" x14ac:dyDescent="0.25">
      <c r="A135" s="152" t="s">
        <v>386</v>
      </c>
      <c r="B135" s="152" t="s">
        <v>387</v>
      </c>
      <c r="C135" s="152" t="s">
        <v>388</v>
      </c>
      <c r="D135" s="152" t="s">
        <v>10</v>
      </c>
      <c r="E135" s="208">
        <v>1</v>
      </c>
      <c r="F135" s="215"/>
      <c r="G135" s="169">
        <f t="shared" si="6"/>
        <v>0</v>
      </c>
      <c r="H135" s="178">
        <f t="shared" si="7"/>
        <v>0</v>
      </c>
      <c r="J135" s="149">
        <f t="shared" ref="J135:J141" si="8">K135*0.25</f>
        <v>375</v>
      </c>
      <c r="K135" s="169">
        <v>1500</v>
      </c>
    </row>
    <row r="136" spans="1:11" ht="12.6" customHeight="1" outlineLevel="1" x14ac:dyDescent="0.25">
      <c r="A136" s="152" t="s">
        <v>389</v>
      </c>
      <c r="B136" s="152" t="s">
        <v>390</v>
      </c>
      <c r="C136" s="152" t="s">
        <v>391</v>
      </c>
      <c r="D136" s="152" t="s">
        <v>10</v>
      </c>
      <c r="E136" s="208">
        <v>4</v>
      </c>
      <c r="F136" s="215"/>
      <c r="G136" s="169">
        <f t="shared" si="6"/>
        <v>0</v>
      </c>
      <c r="H136" s="178">
        <f t="shared" si="7"/>
        <v>0</v>
      </c>
      <c r="J136" s="149">
        <f t="shared" si="8"/>
        <v>250</v>
      </c>
      <c r="K136" s="169">
        <v>1000</v>
      </c>
    </row>
    <row r="137" spans="1:11" ht="12.6" customHeight="1" outlineLevel="1" x14ac:dyDescent="0.25">
      <c r="A137" s="152" t="s">
        <v>392</v>
      </c>
      <c r="B137" s="152" t="s">
        <v>393</v>
      </c>
      <c r="C137" s="152" t="s">
        <v>394</v>
      </c>
      <c r="D137" s="152" t="s">
        <v>10</v>
      </c>
      <c r="E137" s="208">
        <v>2</v>
      </c>
      <c r="F137" s="215"/>
      <c r="G137" s="169">
        <f t="shared" si="6"/>
        <v>0</v>
      </c>
      <c r="H137" s="178">
        <f t="shared" si="7"/>
        <v>0</v>
      </c>
      <c r="J137" s="149">
        <f t="shared" si="8"/>
        <v>200</v>
      </c>
      <c r="K137" s="169">
        <v>800</v>
      </c>
    </row>
    <row r="138" spans="1:11" ht="12.6" customHeight="1" outlineLevel="1" x14ac:dyDescent="0.25">
      <c r="A138" s="152" t="s">
        <v>395</v>
      </c>
      <c r="B138" s="152" t="s">
        <v>396</v>
      </c>
      <c r="C138" s="152" t="s">
        <v>397</v>
      </c>
      <c r="D138" s="152" t="s">
        <v>10</v>
      </c>
      <c r="E138" s="208">
        <v>2</v>
      </c>
      <c r="F138" s="215"/>
      <c r="G138" s="169">
        <f t="shared" si="6"/>
        <v>0</v>
      </c>
      <c r="H138" s="178">
        <f t="shared" si="7"/>
        <v>0</v>
      </c>
      <c r="J138" s="149">
        <f t="shared" si="8"/>
        <v>62.5</v>
      </c>
      <c r="K138" s="169">
        <v>250</v>
      </c>
    </row>
    <row r="139" spans="1:11" ht="12.6" customHeight="1" outlineLevel="1" x14ac:dyDescent="0.25">
      <c r="A139" s="152" t="s">
        <v>398</v>
      </c>
      <c r="B139" s="152" t="s">
        <v>399</v>
      </c>
      <c r="C139" s="152" t="s">
        <v>400</v>
      </c>
      <c r="D139" s="152" t="s">
        <v>10</v>
      </c>
      <c r="E139" s="208">
        <v>8</v>
      </c>
      <c r="F139" s="215"/>
      <c r="G139" s="169">
        <f t="shared" si="6"/>
        <v>0</v>
      </c>
      <c r="H139" s="178">
        <f t="shared" si="7"/>
        <v>0</v>
      </c>
      <c r="J139" s="149">
        <f t="shared" si="8"/>
        <v>62.5</v>
      </c>
      <c r="K139" s="169">
        <v>250</v>
      </c>
    </row>
    <row r="140" spans="1:11" ht="12.6" customHeight="1" outlineLevel="1" x14ac:dyDescent="0.25">
      <c r="A140" s="152" t="s">
        <v>401</v>
      </c>
      <c r="B140" s="152" t="s">
        <v>402</v>
      </c>
      <c r="C140" s="152" t="s">
        <v>403</v>
      </c>
      <c r="D140" s="152" t="s">
        <v>10</v>
      </c>
      <c r="E140" s="208">
        <v>6</v>
      </c>
      <c r="F140" s="215"/>
      <c r="G140" s="169">
        <f t="shared" si="6"/>
        <v>0</v>
      </c>
      <c r="H140" s="178">
        <f t="shared" si="7"/>
        <v>0</v>
      </c>
      <c r="J140" s="149">
        <f t="shared" si="8"/>
        <v>1125</v>
      </c>
      <c r="K140" s="169">
        <v>4500</v>
      </c>
    </row>
    <row r="141" spans="1:11" ht="12.6" customHeight="1" outlineLevel="1" x14ac:dyDescent="0.25">
      <c r="A141" s="152" t="s">
        <v>404</v>
      </c>
      <c r="B141" s="152" t="s">
        <v>271</v>
      </c>
      <c r="C141" s="152" t="s">
        <v>272</v>
      </c>
      <c r="D141" s="150" t="s">
        <v>137</v>
      </c>
      <c r="E141" s="199">
        <v>1</v>
      </c>
      <c r="F141" s="215"/>
      <c r="G141" s="169">
        <f t="shared" si="6"/>
        <v>0</v>
      </c>
      <c r="H141" s="178">
        <f t="shared" si="7"/>
        <v>0</v>
      </c>
      <c r="J141" s="149">
        <f t="shared" si="8"/>
        <v>6250</v>
      </c>
      <c r="K141" s="169">
        <v>25000</v>
      </c>
    </row>
    <row r="142" spans="1:11" ht="12.6" customHeight="1" outlineLevel="1" x14ac:dyDescent="0.25">
      <c r="A142" s="152" t="s">
        <v>405</v>
      </c>
      <c r="B142" s="152"/>
      <c r="C142" s="152"/>
      <c r="D142" s="152"/>
      <c r="E142" s="208"/>
      <c r="F142" s="215"/>
      <c r="G142" s="169"/>
      <c r="H142" s="178"/>
      <c r="K142" s="169"/>
    </row>
    <row r="143" spans="1:11" ht="12.6" customHeight="1" outlineLevel="1" x14ac:dyDescent="0.25">
      <c r="A143" s="152" t="s">
        <v>406</v>
      </c>
      <c r="B143" s="156" t="s">
        <v>407</v>
      </c>
      <c r="C143" s="156" t="s">
        <v>408</v>
      </c>
      <c r="D143" s="156"/>
      <c r="E143" s="210"/>
      <c r="F143" s="215"/>
      <c r="G143" s="171">
        <f>SUM(G65:G142)</f>
        <v>0</v>
      </c>
      <c r="H143" s="178">
        <f t="shared" si="7"/>
        <v>0</v>
      </c>
      <c r="K143" s="169"/>
    </row>
    <row r="144" spans="1:11" ht="12.6" customHeight="1" outlineLevel="1" x14ac:dyDescent="0.25">
      <c r="A144" s="152" t="s">
        <v>409</v>
      </c>
      <c r="B144" s="166" t="s">
        <v>410</v>
      </c>
      <c r="C144" s="166" t="s">
        <v>411</v>
      </c>
      <c r="D144" s="166"/>
      <c r="E144" s="211">
        <v>0.05</v>
      </c>
      <c r="F144" s="215"/>
      <c r="G144" s="171">
        <f>G143*E144</f>
        <v>0</v>
      </c>
      <c r="H144" s="178">
        <f t="shared" si="7"/>
        <v>0</v>
      </c>
      <c r="K144" s="169"/>
    </row>
    <row r="145" spans="1:11" ht="12.6" customHeight="1" outlineLevel="1" x14ac:dyDescent="0.25">
      <c r="A145" s="152" t="s">
        <v>412</v>
      </c>
      <c r="B145" s="176" t="s">
        <v>413</v>
      </c>
      <c r="C145" s="176" t="s">
        <v>414</v>
      </c>
      <c r="D145" s="176"/>
      <c r="E145" s="212"/>
      <c r="F145" s="220"/>
      <c r="G145" s="175">
        <f>G143+G144</f>
        <v>0</v>
      </c>
      <c r="H145" s="180">
        <f t="shared" si="7"/>
        <v>0</v>
      </c>
      <c r="K145" s="177"/>
    </row>
    <row r="146" spans="1:11" ht="12.6" customHeight="1" outlineLevel="1" x14ac:dyDescent="0.25">
      <c r="A146" s="152" t="s">
        <v>415</v>
      </c>
      <c r="B146" s="183" t="s">
        <v>416</v>
      </c>
      <c r="C146" s="183" t="s">
        <v>417</v>
      </c>
      <c r="D146" s="183"/>
      <c r="E146" s="213"/>
      <c r="F146" s="220"/>
      <c r="G146" s="185">
        <f>G145+G61</f>
        <v>0</v>
      </c>
      <c r="H146" s="186">
        <f>H145+H61</f>
        <v>0</v>
      </c>
      <c r="I146" s="187"/>
      <c r="K146" s="184"/>
    </row>
  </sheetData>
  <mergeCells count="3">
    <mergeCell ref="A1:H1"/>
    <mergeCell ref="A3:E3"/>
    <mergeCell ref="B5:H5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U274"/>
  <sheetViews>
    <sheetView topLeftCell="A234" zoomScale="85" zoomScaleNormal="85" workbookViewId="0">
      <selection activeCell="B263" sqref="B263"/>
    </sheetView>
  </sheetViews>
  <sheetFormatPr defaultRowHeight="13.2" outlineLevelRow="2" x14ac:dyDescent="0.25"/>
  <cols>
    <col min="1" max="1" width="8" style="4" customWidth="1"/>
    <col min="2" max="2" width="49.44140625" style="4" customWidth="1"/>
    <col min="3" max="3" width="11.44140625" style="4" customWidth="1"/>
    <col min="4" max="4" width="12.44140625" style="4" customWidth="1"/>
    <col min="5" max="5" width="13.44140625" style="8" customWidth="1"/>
    <col min="6" max="6" width="16.33203125" style="4" customWidth="1"/>
    <col min="7" max="7" width="21.33203125" style="4" customWidth="1"/>
    <col min="8" max="8" width="14.44140625" style="132" customWidth="1"/>
    <col min="9" max="9" width="18.77734375" customWidth="1"/>
    <col min="10" max="10" width="9.109375" style="130" customWidth="1"/>
    <col min="11" max="14" width="11.109375" customWidth="1"/>
  </cols>
  <sheetData>
    <row r="1" spans="1:21" ht="40.200000000000003" customHeight="1" x14ac:dyDescent="0.25">
      <c r="A1" s="242" t="s">
        <v>418</v>
      </c>
      <c r="B1" s="242"/>
      <c r="C1" s="242"/>
      <c r="D1" s="242"/>
      <c r="E1" s="242"/>
      <c r="F1" s="242"/>
      <c r="G1" s="242"/>
      <c r="H1" s="144"/>
    </row>
    <row r="2" spans="1:21" ht="13.2" customHeight="1" x14ac:dyDescent="0.25">
      <c r="A2" s="64"/>
      <c r="B2" s="62" t="s">
        <v>419</v>
      </c>
      <c r="C2" s="65" t="s">
        <v>420</v>
      </c>
      <c r="D2" s="60"/>
      <c r="E2" s="60"/>
      <c r="F2" s="60"/>
      <c r="G2" s="60"/>
      <c r="H2" s="144"/>
    </row>
    <row r="3" spans="1:21" ht="12" customHeight="1" x14ac:dyDescent="0.25">
      <c r="A3" s="64"/>
      <c r="B3" s="60" t="s">
        <v>421</v>
      </c>
      <c r="C3" s="66" t="s">
        <v>422</v>
      </c>
      <c r="D3" s="60"/>
      <c r="E3" s="60"/>
      <c r="F3" s="60"/>
      <c r="G3" s="60"/>
      <c r="H3" s="144"/>
    </row>
    <row r="4" spans="1:21" ht="12" customHeight="1" x14ac:dyDescent="0.25">
      <c r="A4" s="64"/>
      <c r="B4" s="60" t="s">
        <v>423</v>
      </c>
      <c r="C4" s="66" t="s">
        <v>424</v>
      </c>
      <c r="D4" s="60"/>
      <c r="E4" s="60"/>
      <c r="F4" s="60"/>
      <c r="G4" s="60"/>
      <c r="H4" s="144"/>
    </row>
    <row r="5" spans="1:21" ht="12" customHeight="1" x14ac:dyDescent="0.25">
      <c r="A5" s="64"/>
      <c r="B5" s="60" t="s">
        <v>425</v>
      </c>
      <c r="C5" s="66" t="s">
        <v>426</v>
      </c>
      <c r="D5" s="60"/>
      <c r="E5" s="60"/>
      <c r="F5" s="60"/>
      <c r="G5" s="60"/>
      <c r="H5" s="144"/>
    </row>
    <row r="6" spans="1:21" ht="8.4" customHeight="1" x14ac:dyDescent="0.25">
      <c r="A6" s="64"/>
      <c r="B6" s="60"/>
      <c r="C6" s="62"/>
      <c r="D6" s="60"/>
      <c r="E6" s="60"/>
      <c r="F6" s="60"/>
      <c r="G6" s="60"/>
      <c r="H6" s="144"/>
    </row>
    <row r="7" spans="1:21" ht="17.399999999999999" customHeight="1" x14ac:dyDescent="0.25">
      <c r="A7" s="243" t="s">
        <v>427</v>
      </c>
      <c r="B7" s="243"/>
      <c r="C7" s="243"/>
      <c r="D7" s="63"/>
      <c r="E7" s="63"/>
      <c r="F7" s="63"/>
      <c r="G7" s="63"/>
      <c r="H7" s="145"/>
    </row>
    <row r="8" spans="1:21" ht="26.4" x14ac:dyDescent="0.25">
      <c r="A8" s="10" t="s">
        <v>428</v>
      </c>
      <c r="B8" s="5" t="s">
        <v>429</v>
      </c>
      <c r="C8" s="7" t="s">
        <v>430</v>
      </c>
      <c r="D8" s="67"/>
      <c r="E8" s="68"/>
      <c r="F8" s="67"/>
      <c r="G8" s="67"/>
      <c r="H8" s="131"/>
    </row>
    <row r="9" spans="1:21" ht="13.2" customHeight="1" x14ac:dyDescent="0.25">
      <c r="A9" s="7" t="s">
        <v>431</v>
      </c>
      <c r="B9" s="6" t="s">
        <v>432</v>
      </c>
      <c r="C9" s="11" t="e">
        <f>F120</f>
        <v>#VALUE!</v>
      </c>
      <c r="D9" s="67"/>
      <c r="E9" s="68"/>
      <c r="F9" s="67"/>
      <c r="G9" s="67"/>
      <c r="H9" s="131"/>
      <c r="N9" s="60"/>
      <c r="O9" s="60"/>
      <c r="P9" s="60"/>
      <c r="Q9" s="60"/>
      <c r="R9" s="60"/>
      <c r="S9" s="60"/>
      <c r="T9" s="60"/>
      <c r="U9" s="60"/>
    </row>
    <row r="10" spans="1:21" x14ac:dyDescent="0.25">
      <c r="A10" s="7" t="s">
        <v>433</v>
      </c>
      <c r="B10" s="6" t="s">
        <v>180</v>
      </c>
      <c r="C10" s="11">
        <f>F239</f>
        <v>18286059.733690228</v>
      </c>
      <c r="D10" s="67"/>
      <c r="E10" s="68"/>
      <c r="F10" s="67"/>
      <c r="G10" s="67"/>
      <c r="H10" s="131"/>
      <c r="N10" s="60"/>
      <c r="O10" s="60"/>
      <c r="P10" s="60"/>
      <c r="Q10" s="60"/>
      <c r="R10" s="60"/>
      <c r="S10" s="60"/>
      <c r="T10" s="60"/>
      <c r="U10" s="60"/>
    </row>
    <row r="11" spans="1:21" x14ac:dyDescent="0.25">
      <c r="A11" s="7" t="s">
        <v>434</v>
      </c>
      <c r="B11" s="6" t="s">
        <v>435</v>
      </c>
      <c r="C11" s="11">
        <f>F244</f>
        <v>1287500</v>
      </c>
      <c r="D11" s="67"/>
      <c r="E11" s="68"/>
      <c r="F11" s="67"/>
      <c r="G11" s="67"/>
      <c r="H11" s="131"/>
      <c r="N11" s="60"/>
      <c r="O11" s="60"/>
      <c r="P11" s="60"/>
      <c r="Q11" s="60"/>
      <c r="R11" s="60"/>
      <c r="S11" s="60"/>
      <c r="T11" s="60"/>
      <c r="U11" s="60"/>
    </row>
    <row r="12" spans="1:21" x14ac:dyDescent="0.25">
      <c r="A12" s="7" t="s">
        <v>436</v>
      </c>
      <c r="B12" s="6" t="s">
        <v>437</v>
      </c>
      <c r="C12" s="11" t="e">
        <f>SUM(F247:F250)</f>
        <v>#VALUE!</v>
      </c>
      <c r="D12" s="67"/>
      <c r="E12" s="68"/>
      <c r="F12" s="67"/>
      <c r="G12" s="67"/>
      <c r="H12" s="131"/>
    </row>
    <row r="13" spans="1:21" x14ac:dyDescent="0.25">
      <c r="A13" s="7" t="s">
        <v>438</v>
      </c>
      <c r="B13" s="6" t="s">
        <v>439</v>
      </c>
      <c r="C13" s="11" t="e">
        <f>SUM(F253:F256)</f>
        <v>#VALUE!</v>
      </c>
      <c r="D13" s="67"/>
      <c r="E13" s="68"/>
      <c r="F13" s="67"/>
      <c r="G13" s="67"/>
      <c r="H13" s="131"/>
    </row>
    <row r="14" spans="1:21" x14ac:dyDescent="0.25">
      <c r="A14" s="6"/>
      <c r="B14" s="6" t="s">
        <v>440</v>
      </c>
      <c r="C14" s="11" t="e">
        <f>F258</f>
        <v>#VALUE!</v>
      </c>
      <c r="D14" s="67"/>
      <c r="E14" s="68"/>
      <c r="F14" s="67"/>
      <c r="G14" s="67"/>
      <c r="H14" s="131"/>
    </row>
    <row r="15" spans="1:21" x14ac:dyDescent="0.25">
      <c r="A15" s="6"/>
      <c r="B15" s="5" t="s">
        <v>441</v>
      </c>
      <c r="C15" s="12" t="e">
        <f>SUM(C9:C14)</f>
        <v>#VALUE!</v>
      </c>
      <c r="D15" s="67"/>
      <c r="E15" s="68"/>
      <c r="F15" s="67"/>
      <c r="G15" s="67"/>
      <c r="H15" s="131"/>
    </row>
    <row r="16" spans="1:21" x14ac:dyDescent="0.25">
      <c r="A16" s="67"/>
      <c r="B16" s="67"/>
      <c r="C16" s="67"/>
      <c r="D16" s="67"/>
      <c r="E16" s="68"/>
      <c r="F16" s="67"/>
      <c r="G16" s="67"/>
      <c r="H16" s="131"/>
    </row>
    <row r="17" spans="1:10" ht="49.95" customHeight="1" x14ac:dyDescent="0.25">
      <c r="A17" s="10" t="s">
        <v>428</v>
      </c>
      <c r="B17" s="10" t="s">
        <v>3</v>
      </c>
      <c r="C17" s="10" t="s">
        <v>442</v>
      </c>
      <c r="D17" s="10" t="s">
        <v>443</v>
      </c>
      <c r="E17" s="7" t="s">
        <v>444</v>
      </c>
      <c r="F17" s="10" t="s">
        <v>445</v>
      </c>
      <c r="G17" s="10" t="s">
        <v>446</v>
      </c>
      <c r="H17" s="131"/>
      <c r="I17" s="140" t="s">
        <v>447</v>
      </c>
      <c r="J17" s="137"/>
    </row>
    <row r="18" spans="1:10" x14ac:dyDescent="0.25">
      <c r="A18" s="69">
        <v>1</v>
      </c>
      <c r="B18" s="69">
        <v>2</v>
      </c>
      <c r="C18" s="69">
        <v>3</v>
      </c>
      <c r="D18" s="69">
        <v>4</v>
      </c>
      <c r="E18" s="69">
        <v>5</v>
      </c>
      <c r="F18" s="69">
        <v>6</v>
      </c>
      <c r="G18" s="69">
        <v>7</v>
      </c>
      <c r="H18" s="131"/>
      <c r="I18" s="135"/>
      <c r="J18" s="137"/>
    </row>
    <row r="19" spans="1:10" x14ac:dyDescent="0.25">
      <c r="A19" s="15" t="s">
        <v>431</v>
      </c>
      <c r="B19" s="14" t="s">
        <v>432</v>
      </c>
      <c r="C19" s="70"/>
      <c r="D19" s="70"/>
      <c r="E19" s="71"/>
      <c r="F19" s="72"/>
      <c r="G19" s="70"/>
      <c r="H19" s="131"/>
      <c r="I19" s="135"/>
      <c r="J19" s="137"/>
    </row>
    <row r="20" spans="1:10" ht="25.95" customHeight="1" x14ac:dyDescent="0.25">
      <c r="A20" s="70"/>
      <c r="B20" s="244" t="s">
        <v>448</v>
      </c>
      <c r="C20" s="245"/>
      <c r="D20" s="245"/>
      <c r="E20" s="245"/>
      <c r="F20" s="33" t="e">
        <f>SUM(F21:F34)</f>
        <v>#VALUE!</v>
      </c>
      <c r="G20" s="16"/>
      <c r="H20" s="131"/>
      <c r="I20" s="135"/>
      <c r="J20" s="137"/>
    </row>
    <row r="21" spans="1:10" outlineLevel="1" x14ac:dyDescent="0.25">
      <c r="A21" s="7" t="s">
        <v>449</v>
      </c>
      <c r="B21" s="6" t="s">
        <v>450</v>
      </c>
      <c r="C21" s="9" t="s">
        <v>186</v>
      </c>
      <c r="D21" s="73">
        <v>619.9</v>
      </c>
      <c r="E21" s="74">
        <v>250</v>
      </c>
      <c r="F21" s="28">
        <f>D21*E21</f>
        <v>154975</v>
      </c>
      <c r="G21" s="6"/>
      <c r="H21" s="131"/>
      <c r="I21" s="135"/>
      <c r="J21" s="137"/>
    </row>
    <row r="22" spans="1:10" outlineLevel="1" x14ac:dyDescent="0.25">
      <c r="A22" s="7" t="s">
        <v>451</v>
      </c>
      <c r="B22" s="6" t="s">
        <v>452</v>
      </c>
      <c r="C22" s="9" t="s">
        <v>186</v>
      </c>
      <c r="D22" s="73">
        <v>159</v>
      </c>
      <c r="E22" s="74">
        <v>500</v>
      </c>
      <c r="F22" s="13">
        <f t="shared" ref="F22:F88" si="0">D22*E22</f>
        <v>79500</v>
      </c>
      <c r="G22" s="6"/>
      <c r="H22" s="131"/>
      <c r="I22" s="135"/>
      <c r="J22" s="137"/>
    </row>
    <row r="23" spans="1:10" outlineLevel="1" x14ac:dyDescent="0.25">
      <c r="A23" s="7" t="s">
        <v>453</v>
      </c>
      <c r="B23" s="6" t="s">
        <v>454</v>
      </c>
      <c r="C23" s="9" t="s">
        <v>186</v>
      </c>
      <c r="D23" s="73">
        <v>332.6</v>
      </c>
      <c r="E23" s="74">
        <f>E22</f>
        <v>500</v>
      </c>
      <c r="F23" s="13">
        <f t="shared" si="0"/>
        <v>166300</v>
      </c>
      <c r="G23" s="6"/>
      <c r="H23" s="131"/>
      <c r="I23" s="135"/>
      <c r="J23" s="137"/>
    </row>
    <row r="24" spans="1:10" outlineLevel="1" x14ac:dyDescent="0.25">
      <c r="A24" s="7" t="s">
        <v>455</v>
      </c>
      <c r="B24" s="6" t="s">
        <v>456</v>
      </c>
      <c r="C24" s="9" t="s">
        <v>457</v>
      </c>
      <c r="D24" s="73">
        <v>43.2</v>
      </c>
      <c r="E24" s="74">
        <v>250</v>
      </c>
      <c r="F24" s="13">
        <f t="shared" si="0"/>
        <v>10800</v>
      </c>
      <c r="G24" s="6"/>
      <c r="H24" s="131"/>
      <c r="I24" s="135"/>
      <c r="J24" s="137"/>
    </row>
    <row r="25" spans="1:10" ht="27" customHeight="1" outlineLevel="1" x14ac:dyDescent="0.25">
      <c r="A25" s="7" t="s">
        <v>458</v>
      </c>
      <c r="B25" s="6" t="s">
        <v>459</v>
      </c>
      <c r="C25" s="9" t="s">
        <v>460</v>
      </c>
      <c r="D25" s="73">
        <v>48</v>
      </c>
      <c r="E25" s="74">
        <v>1500</v>
      </c>
      <c r="F25" s="13">
        <f t="shared" si="0"/>
        <v>72000</v>
      </c>
      <c r="G25" s="6"/>
      <c r="H25" s="131"/>
      <c r="I25" s="135"/>
      <c r="J25" s="137"/>
    </row>
    <row r="26" spans="1:10" ht="26.4" outlineLevel="1" x14ac:dyDescent="0.25">
      <c r="A26" s="7" t="s">
        <v>461</v>
      </c>
      <c r="B26" s="6" t="s">
        <v>462</v>
      </c>
      <c r="C26" s="9" t="s">
        <v>460</v>
      </c>
      <c r="D26" s="73">
        <v>69</v>
      </c>
      <c r="E26" s="74">
        <f>E25</f>
        <v>1500</v>
      </c>
      <c r="F26" s="13">
        <f t="shared" si="0"/>
        <v>103500</v>
      </c>
      <c r="G26" s="6"/>
      <c r="H26" s="131"/>
      <c r="I26" s="135"/>
      <c r="J26" s="137"/>
    </row>
    <row r="27" spans="1:10" outlineLevel="1" x14ac:dyDescent="0.25">
      <c r="A27" s="7" t="s">
        <v>463</v>
      </c>
      <c r="B27" s="6" t="s">
        <v>464</v>
      </c>
      <c r="C27" s="9" t="s">
        <v>186</v>
      </c>
      <c r="D27" s="73">
        <v>42.6</v>
      </c>
      <c r="E27" s="74">
        <f>E25</f>
        <v>1500</v>
      </c>
      <c r="F27" s="13">
        <f t="shared" si="0"/>
        <v>63900</v>
      </c>
      <c r="G27" s="6"/>
      <c r="H27" s="131"/>
      <c r="I27" s="135"/>
      <c r="J27" s="137"/>
    </row>
    <row r="28" spans="1:10" ht="39.6" outlineLevel="1" x14ac:dyDescent="0.25">
      <c r="A28" s="7" t="s">
        <v>465</v>
      </c>
      <c r="B28" s="6" t="s">
        <v>466</v>
      </c>
      <c r="C28" s="9" t="s">
        <v>460</v>
      </c>
      <c r="D28" s="73">
        <v>156</v>
      </c>
      <c r="E28" s="74">
        <v>250</v>
      </c>
      <c r="F28" s="13">
        <f t="shared" si="0"/>
        <v>39000</v>
      </c>
      <c r="G28" s="6"/>
      <c r="H28" s="131"/>
      <c r="I28" s="135"/>
      <c r="J28" s="137"/>
    </row>
    <row r="29" spans="1:10" ht="26.4" outlineLevel="1" x14ac:dyDescent="0.25">
      <c r="A29" s="7" t="s">
        <v>467</v>
      </c>
      <c r="B29" s="6" t="s">
        <v>468</v>
      </c>
      <c r="C29" s="9" t="s">
        <v>460</v>
      </c>
      <c r="D29" s="73">
        <v>217</v>
      </c>
      <c r="E29" s="74">
        <f>E28</f>
        <v>250</v>
      </c>
      <c r="F29" s="13">
        <f t="shared" si="0"/>
        <v>54250</v>
      </c>
      <c r="G29" s="6"/>
      <c r="I29" s="139">
        <v>150</v>
      </c>
      <c r="J29" s="141" t="s">
        <v>460</v>
      </c>
    </row>
    <row r="30" spans="1:10" outlineLevel="1" x14ac:dyDescent="0.25">
      <c r="A30" s="7" t="s">
        <v>469</v>
      </c>
      <c r="B30" s="6" t="s">
        <v>470</v>
      </c>
      <c r="C30" s="9" t="s">
        <v>186</v>
      </c>
      <c r="D30" s="13" t="s">
        <v>471</v>
      </c>
      <c r="E30" s="74">
        <v>130</v>
      </c>
      <c r="F30" s="13" t="e">
        <f t="shared" si="0"/>
        <v>#VALUE!</v>
      </c>
      <c r="G30" s="6"/>
      <c r="H30" s="131"/>
      <c r="I30" s="135"/>
      <c r="J30" s="137"/>
    </row>
    <row r="31" spans="1:10" ht="26.4" outlineLevel="1" x14ac:dyDescent="0.25">
      <c r="A31" s="7" t="s">
        <v>472</v>
      </c>
      <c r="B31" s="6" t="s">
        <v>473</v>
      </c>
      <c r="C31" s="9" t="s">
        <v>460</v>
      </c>
      <c r="D31" s="73">
        <v>33</v>
      </c>
      <c r="E31" s="74">
        <v>1200</v>
      </c>
      <c r="F31" s="13">
        <f t="shared" si="0"/>
        <v>39600</v>
      </c>
      <c r="G31" s="6"/>
      <c r="H31" s="131"/>
      <c r="I31" s="135"/>
      <c r="J31" s="137"/>
    </row>
    <row r="32" spans="1:10" ht="26.4" outlineLevel="1" x14ac:dyDescent="0.25">
      <c r="A32" s="7" t="s">
        <v>474</v>
      </c>
      <c r="B32" s="6" t="s">
        <v>475</v>
      </c>
      <c r="C32" s="9" t="s">
        <v>460</v>
      </c>
      <c r="D32" s="73">
        <v>15</v>
      </c>
      <c r="E32" s="74">
        <f>E31</f>
        <v>1200</v>
      </c>
      <c r="F32" s="13">
        <f t="shared" si="0"/>
        <v>18000</v>
      </c>
      <c r="G32" s="6"/>
      <c r="H32" s="131"/>
      <c r="I32" s="135"/>
      <c r="J32" s="137"/>
    </row>
    <row r="33" spans="1:10" outlineLevel="1" x14ac:dyDescent="0.25">
      <c r="A33" s="7" t="s">
        <v>476</v>
      </c>
      <c r="B33" s="6" t="s">
        <v>477</v>
      </c>
      <c r="C33" s="9" t="s">
        <v>460</v>
      </c>
      <c r="D33" s="73">
        <v>15</v>
      </c>
      <c r="E33" s="74">
        <f>E31</f>
        <v>1200</v>
      </c>
      <c r="F33" s="13">
        <f t="shared" si="0"/>
        <v>18000</v>
      </c>
      <c r="G33" s="6"/>
      <c r="H33" s="131"/>
      <c r="I33" s="135"/>
      <c r="J33" s="137"/>
    </row>
    <row r="34" spans="1:10" ht="26.4" outlineLevel="1" x14ac:dyDescent="0.25">
      <c r="A34" s="7" t="s">
        <v>478</v>
      </c>
      <c r="B34" s="6" t="s">
        <v>479</v>
      </c>
      <c r="C34" s="9" t="s">
        <v>460</v>
      </c>
      <c r="D34" s="73">
        <v>15</v>
      </c>
      <c r="E34" s="74">
        <f>E31</f>
        <v>1200</v>
      </c>
      <c r="F34" s="13">
        <f t="shared" si="0"/>
        <v>18000</v>
      </c>
      <c r="G34" s="6"/>
      <c r="H34" s="131"/>
      <c r="I34" s="135"/>
      <c r="J34" s="137"/>
    </row>
    <row r="35" spans="1:10" x14ac:dyDescent="0.25">
      <c r="A35" s="70"/>
      <c r="B35" s="14" t="s">
        <v>29</v>
      </c>
      <c r="C35" s="70"/>
      <c r="D35" s="75"/>
      <c r="E35" s="76"/>
      <c r="F35" s="35" t="e">
        <f>SUM(F36:F79)</f>
        <v>#VALUE!</v>
      </c>
      <c r="G35" s="70"/>
      <c r="H35" s="131"/>
      <c r="I35" s="135"/>
      <c r="J35" s="137"/>
    </row>
    <row r="36" spans="1:10" ht="30" customHeight="1" outlineLevel="1" x14ac:dyDescent="0.25">
      <c r="A36" s="7" t="s">
        <v>480</v>
      </c>
      <c r="B36" s="43" t="s">
        <v>481</v>
      </c>
      <c r="C36" s="39" t="s">
        <v>186</v>
      </c>
      <c r="D36" s="40">
        <v>71</v>
      </c>
      <c r="E36" s="41">
        <v>250</v>
      </c>
      <c r="F36" s="13">
        <f t="shared" si="0"/>
        <v>17750</v>
      </c>
      <c r="G36" s="43"/>
      <c r="H36" s="131"/>
      <c r="I36" s="135"/>
      <c r="J36" s="137"/>
    </row>
    <row r="37" spans="1:10" ht="26.4" outlineLevel="1" x14ac:dyDescent="0.25">
      <c r="A37" s="7" t="s">
        <v>482</v>
      </c>
      <c r="B37" s="43" t="s">
        <v>483</v>
      </c>
      <c r="C37" s="39" t="s">
        <v>186</v>
      </c>
      <c r="D37" s="40">
        <v>71</v>
      </c>
      <c r="E37" s="41">
        <f>E36</f>
        <v>250</v>
      </c>
      <c r="F37" s="13">
        <f t="shared" si="0"/>
        <v>17750</v>
      </c>
      <c r="G37" s="43"/>
      <c r="H37" s="131"/>
      <c r="I37" s="135"/>
      <c r="J37" s="137"/>
    </row>
    <row r="38" spans="1:10" ht="26.4" outlineLevel="1" x14ac:dyDescent="0.25">
      <c r="A38" s="7" t="s">
        <v>484</v>
      </c>
      <c r="B38" s="43" t="s">
        <v>36</v>
      </c>
      <c r="C38" s="44" t="s">
        <v>223</v>
      </c>
      <c r="D38" s="42">
        <v>4.0999999999999996</v>
      </c>
      <c r="E38" s="41">
        <v>2500</v>
      </c>
      <c r="F38" s="13">
        <f t="shared" si="0"/>
        <v>10250</v>
      </c>
      <c r="G38" s="6"/>
      <c r="H38" s="131"/>
      <c r="I38" s="135"/>
      <c r="J38" s="137"/>
    </row>
    <row r="39" spans="1:10" outlineLevel="1" x14ac:dyDescent="0.25">
      <c r="A39" s="7" t="s">
        <v>485</v>
      </c>
      <c r="B39" s="43" t="s">
        <v>486</v>
      </c>
      <c r="C39" s="44" t="s">
        <v>186</v>
      </c>
      <c r="D39" s="42">
        <v>11.3</v>
      </c>
      <c r="E39" s="41">
        <v>300</v>
      </c>
      <c r="F39" s="13">
        <f t="shared" si="0"/>
        <v>3390</v>
      </c>
      <c r="G39" s="6"/>
      <c r="H39" s="131"/>
      <c r="I39" s="135"/>
      <c r="J39" s="137"/>
    </row>
    <row r="40" spans="1:10" ht="26.4" outlineLevel="1" x14ac:dyDescent="0.25">
      <c r="A40" s="7" t="s">
        <v>487</v>
      </c>
      <c r="B40" s="43" t="s">
        <v>488</v>
      </c>
      <c r="C40" s="44" t="s">
        <v>186</v>
      </c>
      <c r="D40" s="42">
        <v>1.9</v>
      </c>
      <c r="E40" s="41">
        <v>2500</v>
      </c>
      <c r="F40" s="13">
        <f t="shared" si="0"/>
        <v>4750</v>
      </c>
      <c r="G40" s="6"/>
      <c r="H40" s="131"/>
      <c r="I40" s="135"/>
      <c r="J40" s="137"/>
    </row>
    <row r="41" spans="1:10" ht="27" customHeight="1" outlineLevel="1" x14ac:dyDescent="0.25">
      <c r="A41" s="7" t="s">
        <v>489</v>
      </c>
      <c r="B41" s="43" t="s">
        <v>490</v>
      </c>
      <c r="C41" s="44" t="s">
        <v>491</v>
      </c>
      <c r="D41" s="42">
        <v>1</v>
      </c>
      <c r="E41" s="41">
        <v>5000</v>
      </c>
      <c r="F41" s="13">
        <f t="shared" si="0"/>
        <v>5000</v>
      </c>
      <c r="G41" s="6"/>
      <c r="H41" s="131"/>
      <c r="I41" s="135"/>
      <c r="J41" s="137"/>
    </row>
    <row r="42" spans="1:10" ht="26.4" outlineLevel="1" x14ac:dyDescent="0.25">
      <c r="A42" s="7" t="s">
        <v>492</v>
      </c>
      <c r="B42" s="43" t="s">
        <v>493</v>
      </c>
      <c r="C42" s="44" t="s">
        <v>186</v>
      </c>
      <c r="D42" s="42">
        <v>786.3</v>
      </c>
      <c r="E42" s="41">
        <v>250</v>
      </c>
      <c r="F42" s="13">
        <f t="shared" si="0"/>
        <v>196575</v>
      </c>
      <c r="G42" s="6"/>
      <c r="H42" s="131"/>
      <c r="I42" s="135"/>
      <c r="J42" s="137"/>
    </row>
    <row r="43" spans="1:10" outlineLevel="1" x14ac:dyDescent="0.25">
      <c r="A43" s="7" t="s">
        <v>494</v>
      </c>
      <c r="B43" s="43" t="s">
        <v>495</v>
      </c>
      <c r="C43" s="44" t="s">
        <v>186</v>
      </c>
      <c r="D43" s="45" t="s">
        <v>496</v>
      </c>
      <c r="E43" s="41">
        <f>E42</f>
        <v>250</v>
      </c>
      <c r="F43" s="13" t="e">
        <f t="shared" si="0"/>
        <v>#VALUE!</v>
      </c>
      <c r="G43" s="6"/>
      <c r="H43" s="131"/>
      <c r="I43" s="135"/>
      <c r="J43" s="137"/>
    </row>
    <row r="44" spans="1:10" outlineLevel="1" x14ac:dyDescent="0.25">
      <c r="A44" s="7" t="s">
        <v>497</v>
      </c>
      <c r="B44" s="43" t="s">
        <v>498</v>
      </c>
      <c r="C44" s="44" t="s">
        <v>186</v>
      </c>
      <c r="D44" s="45" t="s">
        <v>496</v>
      </c>
      <c r="E44" s="41">
        <v>120</v>
      </c>
      <c r="F44" s="13" t="e">
        <f t="shared" si="0"/>
        <v>#VALUE!</v>
      </c>
      <c r="G44" s="6"/>
      <c r="H44" s="131"/>
      <c r="I44" s="135"/>
      <c r="J44" s="137"/>
    </row>
    <row r="45" spans="1:10" outlineLevel="1" x14ac:dyDescent="0.25">
      <c r="A45" s="7" t="s">
        <v>499</v>
      </c>
      <c r="B45" s="43" t="s">
        <v>500</v>
      </c>
      <c r="C45" s="44" t="s">
        <v>186</v>
      </c>
      <c r="D45" s="45" t="s">
        <v>496</v>
      </c>
      <c r="E45" s="41">
        <v>120</v>
      </c>
      <c r="F45" s="13" t="e">
        <f t="shared" si="0"/>
        <v>#VALUE!</v>
      </c>
      <c r="G45" s="6"/>
      <c r="H45" s="131"/>
      <c r="I45" s="135"/>
      <c r="J45" s="137"/>
    </row>
    <row r="46" spans="1:10" ht="26.4" outlineLevel="1" x14ac:dyDescent="0.25">
      <c r="A46" s="7" t="s">
        <v>501</v>
      </c>
      <c r="B46" s="43" t="s">
        <v>502</v>
      </c>
      <c r="C46" s="44" t="s">
        <v>186</v>
      </c>
      <c r="D46" s="40">
        <f>15.5+16.8+8.9+2.4+3</f>
        <v>46.599999999999994</v>
      </c>
      <c r="E46" s="41">
        <v>2300</v>
      </c>
      <c r="F46" s="13">
        <f t="shared" si="0"/>
        <v>107179.99999999999</v>
      </c>
      <c r="G46" s="6"/>
      <c r="H46" s="131"/>
      <c r="I46" s="135"/>
      <c r="J46" s="137"/>
    </row>
    <row r="47" spans="1:10" outlineLevel="1" x14ac:dyDescent="0.25">
      <c r="A47" s="7" t="s">
        <v>503</v>
      </c>
      <c r="B47" s="43" t="s">
        <v>504</v>
      </c>
      <c r="C47" s="44" t="s">
        <v>186</v>
      </c>
      <c r="D47" s="42">
        <v>914.57500000000005</v>
      </c>
      <c r="E47" s="41">
        <v>180</v>
      </c>
      <c r="F47" s="13">
        <f t="shared" si="0"/>
        <v>164623.5</v>
      </c>
      <c r="G47" s="6"/>
      <c r="H47" s="131"/>
      <c r="I47" s="135"/>
      <c r="J47" s="137"/>
    </row>
    <row r="48" spans="1:10" outlineLevel="1" x14ac:dyDescent="0.25">
      <c r="A48" s="7" t="s">
        <v>505</v>
      </c>
      <c r="B48" s="43" t="s">
        <v>506</v>
      </c>
      <c r="C48" s="44" t="s">
        <v>186</v>
      </c>
      <c r="D48" s="42">
        <v>31</v>
      </c>
      <c r="E48" s="41">
        <v>180</v>
      </c>
      <c r="F48" s="13">
        <f t="shared" si="0"/>
        <v>5580</v>
      </c>
      <c r="G48" s="6"/>
      <c r="H48" s="131"/>
      <c r="I48" s="135"/>
      <c r="J48" s="137"/>
    </row>
    <row r="49" spans="1:10" outlineLevel="1" x14ac:dyDescent="0.25">
      <c r="A49" s="7" t="s">
        <v>507</v>
      </c>
      <c r="B49" s="43" t="s">
        <v>508</v>
      </c>
      <c r="C49" s="44" t="s">
        <v>186</v>
      </c>
      <c r="D49" s="45" t="s">
        <v>509</v>
      </c>
      <c r="E49" s="41">
        <v>230</v>
      </c>
      <c r="F49" s="13" t="e">
        <f t="shared" si="0"/>
        <v>#VALUE!</v>
      </c>
      <c r="G49" s="6"/>
      <c r="H49" s="131"/>
      <c r="I49" s="135"/>
      <c r="J49" s="137"/>
    </row>
    <row r="50" spans="1:10" outlineLevel="1" x14ac:dyDescent="0.25">
      <c r="A50" s="7" t="s">
        <v>510</v>
      </c>
      <c r="B50" s="6" t="s">
        <v>511</v>
      </c>
      <c r="C50" s="9" t="s">
        <v>186</v>
      </c>
      <c r="D50" s="73">
        <v>577</v>
      </c>
      <c r="E50" s="74">
        <v>230</v>
      </c>
      <c r="F50" s="13">
        <f t="shared" si="0"/>
        <v>132710</v>
      </c>
      <c r="G50" s="6"/>
      <c r="H50" s="131"/>
      <c r="I50" s="135"/>
      <c r="J50" s="137"/>
    </row>
    <row r="51" spans="1:10" ht="26.4" outlineLevel="1" x14ac:dyDescent="0.25">
      <c r="A51" s="7" t="s">
        <v>512</v>
      </c>
      <c r="B51" s="6" t="s">
        <v>513</v>
      </c>
      <c r="C51" s="9" t="s">
        <v>186</v>
      </c>
      <c r="D51" s="73">
        <v>84</v>
      </c>
      <c r="E51" s="74">
        <v>340</v>
      </c>
      <c r="F51" s="13">
        <f t="shared" si="0"/>
        <v>28560</v>
      </c>
      <c r="G51" s="6"/>
      <c r="H51" s="131"/>
      <c r="I51" s="135"/>
      <c r="J51" s="137"/>
    </row>
    <row r="52" spans="1:10" ht="39.6" outlineLevel="1" x14ac:dyDescent="0.25">
      <c r="A52" s="7" t="s">
        <v>514</v>
      </c>
      <c r="B52" s="6" t="s">
        <v>515</v>
      </c>
      <c r="C52" s="9" t="s">
        <v>186</v>
      </c>
      <c r="D52" s="73">
        <v>17.5</v>
      </c>
      <c r="E52" s="74">
        <f>E51</f>
        <v>340</v>
      </c>
      <c r="F52" s="13">
        <f t="shared" si="0"/>
        <v>5950</v>
      </c>
      <c r="G52" s="6"/>
      <c r="H52" s="131"/>
      <c r="I52" s="135"/>
      <c r="J52" s="137"/>
    </row>
    <row r="53" spans="1:10" ht="26.4" outlineLevel="1" x14ac:dyDescent="0.25">
      <c r="A53" s="7" t="s">
        <v>516</v>
      </c>
      <c r="B53" s="6" t="s">
        <v>517</v>
      </c>
      <c r="C53" s="9" t="s">
        <v>186</v>
      </c>
      <c r="D53" s="73">
        <v>103.9</v>
      </c>
      <c r="E53" s="74">
        <v>210</v>
      </c>
      <c r="F53" s="13">
        <f t="shared" si="0"/>
        <v>21819</v>
      </c>
      <c r="G53" s="6"/>
      <c r="H53" s="131"/>
      <c r="I53" s="135"/>
      <c r="J53" s="137"/>
    </row>
    <row r="54" spans="1:10" ht="15" customHeight="1" outlineLevel="1" x14ac:dyDescent="0.25">
      <c r="A54" s="7" t="s">
        <v>518</v>
      </c>
      <c r="B54" s="6" t="s">
        <v>519</v>
      </c>
      <c r="C54" s="9" t="s">
        <v>223</v>
      </c>
      <c r="D54" s="73">
        <v>2.2000000000000002</v>
      </c>
      <c r="E54" s="74">
        <v>3500</v>
      </c>
      <c r="F54" s="13">
        <f t="shared" si="0"/>
        <v>7700.0000000000009</v>
      </c>
      <c r="G54" s="6"/>
      <c r="I54" s="135"/>
      <c r="J54" s="137"/>
    </row>
    <row r="55" spans="1:10" ht="15.6" customHeight="1" outlineLevel="1" x14ac:dyDescent="0.25">
      <c r="A55" s="7" t="s">
        <v>520</v>
      </c>
      <c r="B55" s="6" t="s">
        <v>521</v>
      </c>
      <c r="C55" s="9" t="s">
        <v>522</v>
      </c>
      <c r="D55" s="73">
        <v>430</v>
      </c>
      <c r="E55" s="74">
        <v>1300</v>
      </c>
      <c r="F55" s="13">
        <f t="shared" si="0"/>
        <v>559000</v>
      </c>
      <c r="G55" s="6"/>
      <c r="I55" s="138">
        <v>1100</v>
      </c>
      <c r="J55" s="137"/>
    </row>
    <row r="56" spans="1:10" ht="15.6" customHeight="1" outlineLevel="1" x14ac:dyDescent="0.25">
      <c r="A56" s="7" t="s">
        <v>523</v>
      </c>
      <c r="B56" s="6" t="s">
        <v>524</v>
      </c>
      <c r="C56" s="9" t="s">
        <v>522</v>
      </c>
      <c r="D56" s="73">
        <v>104</v>
      </c>
      <c r="E56" s="74">
        <f>E55</f>
        <v>1300</v>
      </c>
      <c r="F56" s="13">
        <f t="shared" si="0"/>
        <v>135200</v>
      </c>
      <c r="G56" s="6"/>
      <c r="I56" s="138">
        <v>1100</v>
      </c>
      <c r="J56" s="137"/>
    </row>
    <row r="57" spans="1:10" ht="26.4" outlineLevel="1" x14ac:dyDescent="0.25">
      <c r="A57" s="7" t="s">
        <v>525</v>
      </c>
      <c r="B57" s="6" t="s">
        <v>526</v>
      </c>
      <c r="C57" s="9" t="s">
        <v>186</v>
      </c>
      <c r="D57" s="73">
        <v>206.3</v>
      </c>
      <c r="E57" s="74">
        <f>E55</f>
        <v>1300</v>
      </c>
      <c r="F57" s="13">
        <f t="shared" si="0"/>
        <v>268190</v>
      </c>
      <c r="G57" s="6"/>
      <c r="I57" s="135"/>
      <c r="J57" s="137"/>
    </row>
    <row r="58" spans="1:10" ht="26.4" outlineLevel="1" x14ac:dyDescent="0.25">
      <c r="A58" s="7" t="s">
        <v>527</v>
      </c>
      <c r="B58" s="6" t="s">
        <v>528</v>
      </c>
      <c r="C58" s="9" t="s">
        <v>186</v>
      </c>
      <c r="D58" s="73">
        <v>28</v>
      </c>
      <c r="E58" s="74">
        <f>E57</f>
        <v>1300</v>
      </c>
      <c r="F58" s="13">
        <f t="shared" si="0"/>
        <v>36400</v>
      </c>
      <c r="G58" s="6"/>
      <c r="I58" s="135"/>
      <c r="J58" s="137"/>
    </row>
    <row r="59" spans="1:10" outlineLevel="1" x14ac:dyDescent="0.25">
      <c r="A59" s="7" t="s">
        <v>529</v>
      </c>
      <c r="B59" s="6" t="s">
        <v>530</v>
      </c>
      <c r="C59" s="9" t="s">
        <v>186</v>
      </c>
      <c r="D59" s="73">
        <v>61.4</v>
      </c>
      <c r="E59" s="74">
        <f>E52</f>
        <v>340</v>
      </c>
      <c r="F59" s="13">
        <f t="shared" si="0"/>
        <v>20876</v>
      </c>
      <c r="G59" s="6"/>
      <c r="I59" s="135"/>
      <c r="J59" s="137"/>
    </row>
    <row r="60" spans="1:10" outlineLevel="1" x14ac:dyDescent="0.25">
      <c r="A60" s="7" t="s">
        <v>531</v>
      </c>
      <c r="B60" s="6" t="s">
        <v>69</v>
      </c>
      <c r="C60" s="9" t="s">
        <v>532</v>
      </c>
      <c r="D60" s="73">
        <v>167</v>
      </c>
      <c r="E60" s="74">
        <v>230</v>
      </c>
      <c r="F60" s="13">
        <f t="shared" si="0"/>
        <v>38410</v>
      </c>
      <c r="G60" s="6"/>
      <c r="I60" s="135"/>
      <c r="J60" s="137"/>
    </row>
    <row r="61" spans="1:10" ht="26.4" customHeight="1" outlineLevel="1" x14ac:dyDescent="0.25">
      <c r="A61" s="7" t="s">
        <v>533</v>
      </c>
      <c r="B61" s="6" t="s">
        <v>534</v>
      </c>
      <c r="C61" s="9" t="s">
        <v>186</v>
      </c>
      <c r="D61" s="73">
        <v>46</v>
      </c>
      <c r="E61" s="74">
        <v>460</v>
      </c>
      <c r="F61" s="13">
        <f t="shared" si="0"/>
        <v>21160</v>
      </c>
      <c r="G61" s="6"/>
      <c r="I61" s="135"/>
      <c r="J61" s="137"/>
    </row>
    <row r="62" spans="1:10" ht="27" customHeight="1" outlineLevel="1" x14ac:dyDescent="0.25">
      <c r="A62" s="7" t="s">
        <v>535</v>
      </c>
      <c r="B62" s="6" t="s">
        <v>536</v>
      </c>
      <c r="C62" s="9" t="s">
        <v>186</v>
      </c>
      <c r="D62" s="73">
        <v>78</v>
      </c>
      <c r="E62" s="74">
        <f>E61</f>
        <v>460</v>
      </c>
      <c r="F62" s="13">
        <f t="shared" si="0"/>
        <v>35880</v>
      </c>
      <c r="G62" s="6"/>
      <c r="I62" s="135"/>
      <c r="J62" s="137"/>
    </row>
    <row r="63" spans="1:10" ht="26.4" outlineLevel="1" x14ac:dyDescent="0.25">
      <c r="A63" s="7" t="s">
        <v>537</v>
      </c>
      <c r="B63" s="6" t="s">
        <v>538</v>
      </c>
      <c r="C63" s="9" t="s">
        <v>522</v>
      </c>
      <c r="D63" s="73">
        <v>536.70000000000005</v>
      </c>
      <c r="E63" s="74">
        <v>280</v>
      </c>
      <c r="F63" s="13">
        <f t="shared" si="0"/>
        <v>150276</v>
      </c>
      <c r="G63" s="6"/>
      <c r="I63" s="135"/>
      <c r="J63" s="137"/>
    </row>
    <row r="64" spans="1:10" outlineLevel="1" x14ac:dyDescent="0.25">
      <c r="A64" s="7" t="s">
        <v>539</v>
      </c>
      <c r="B64" s="6" t="s">
        <v>540</v>
      </c>
      <c r="C64" s="9" t="s">
        <v>457</v>
      </c>
      <c r="D64" s="73">
        <v>505</v>
      </c>
      <c r="E64" s="74">
        <v>50</v>
      </c>
      <c r="F64" s="13">
        <f t="shared" si="0"/>
        <v>25250</v>
      </c>
      <c r="G64" s="6"/>
      <c r="I64" s="135"/>
      <c r="J64" s="137"/>
    </row>
    <row r="65" spans="1:10" ht="26.4" outlineLevel="1" x14ac:dyDescent="0.25">
      <c r="A65" s="7" t="s">
        <v>541</v>
      </c>
      <c r="B65" s="6" t="s">
        <v>542</v>
      </c>
      <c r="C65" s="9" t="s">
        <v>522</v>
      </c>
      <c r="D65" s="73">
        <v>354.2</v>
      </c>
      <c r="E65" s="74">
        <v>400</v>
      </c>
      <c r="F65" s="13">
        <f t="shared" si="0"/>
        <v>141680</v>
      </c>
      <c r="G65" s="6"/>
      <c r="I65" s="135"/>
      <c r="J65" s="137"/>
    </row>
    <row r="66" spans="1:10" ht="26.4" outlineLevel="1" x14ac:dyDescent="0.25">
      <c r="A66" s="7" t="s">
        <v>543</v>
      </c>
      <c r="B66" s="6" t="s">
        <v>544</v>
      </c>
      <c r="C66" s="9" t="s">
        <v>522</v>
      </c>
      <c r="D66" s="73">
        <v>104</v>
      </c>
      <c r="E66" s="74">
        <v>350</v>
      </c>
      <c r="F66" s="13">
        <f t="shared" si="0"/>
        <v>36400</v>
      </c>
      <c r="G66" s="6"/>
      <c r="I66" s="135"/>
      <c r="J66" s="137"/>
    </row>
    <row r="67" spans="1:10" outlineLevel="1" x14ac:dyDescent="0.25">
      <c r="A67" s="7" t="s">
        <v>545</v>
      </c>
      <c r="B67" s="6" t="s">
        <v>75</v>
      </c>
      <c r="C67" s="9" t="s">
        <v>522</v>
      </c>
      <c r="D67" s="73">
        <v>568</v>
      </c>
      <c r="E67" s="74">
        <v>150</v>
      </c>
      <c r="F67" s="13">
        <f t="shared" si="0"/>
        <v>85200</v>
      </c>
      <c r="G67" s="6"/>
      <c r="I67" s="135"/>
      <c r="J67" s="137"/>
    </row>
    <row r="68" spans="1:10" ht="39.6" outlineLevel="1" x14ac:dyDescent="0.25">
      <c r="A68" s="7" t="s">
        <v>546</v>
      </c>
      <c r="B68" s="6" t="s">
        <v>547</v>
      </c>
      <c r="C68" s="9" t="s">
        <v>522</v>
      </c>
      <c r="D68" s="73">
        <v>55.8</v>
      </c>
      <c r="E68" s="148">
        <v>9725</v>
      </c>
      <c r="F68" s="13">
        <f t="shared" si="0"/>
        <v>542655</v>
      </c>
      <c r="G68" s="147"/>
      <c r="H68" s="238" t="s">
        <v>548</v>
      </c>
      <c r="I68" s="138">
        <v>1000</v>
      </c>
      <c r="J68" s="141" t="s">
        <v>186</v>
      </c>
    </row>
    <row r="69" spans="1:10" ht="39.6" outlineLevel="1" x14ac:dyDescent="0.25">
      <c r="A69" s="7" t="s">
        <v>549</v>
      </c>
      <c r="B69" s="6" t="s">
        <v>550</v>
      </c>
      <c r="C69" s="9" t="s">
        <v>186</v>
      </c>
      <c r="D69" s="73">
        <v>48.3</v>
      </c>
      <c r="E69" s="148">
        <f>E68</f>
        <v>9725</v>
      </c>
      <c r="F69" s="13">
        <f t="shared" si="0"/>
        <v>469717.5</v>
      </c>
      <c r="G69" s="147"/>
      <c r="H69" s="239"/>
      <c r="I69" s="138">
        <v>3000</v>
      </c>
      <c r="J69" s="141" t="s">
        <v>186</v>
      </c>
    </row>
    <row r="70" spans="1:10" ht="26.4" outlineLevel="1" x14ac:dyDescent="0.25">
      <c r="A70" s="7" t="s">
        <v>551</v>
      </c>
      <c r="B70" s="6" t="s">
        <v>552</v>
      </c>
      <c r="C70" s="9" t="s">
        <v>186</v>
      </c>
      <c r="D70" s="73">
        <v>7.6</v>
      </c>
      <c r="E70" s="148">
        <f>E68</f>
        <v>9725</v>
      </c>
      <c r="F70" s="13">
        <f t="shared" si="0"/>
        <v>73910</v>
      </c>
      <c r="G70" s="147"/>
      <c r="H70" s="239"/>
      <c r="I70" s="138">
        <v>1700</v>
      </c>
      <c r="J70" s="141" t="s">
        <v>186</v>
      </c>
    </row>
    <row r="71" spans="1:10" ht="26.4" outlineLevel="1" x14ac:dyDescent="0.25">
      <c r="A71" s="7" t="s">
        <v>553</v>
      </c>
      <c r="B71" s="6" t="s">
        <v>554</v>
      </c>
      <c r="C71" s="9" t="s">
        <v>186</v>
      </c>
      <c r="D71" s="73">
        <v>6.7</v>
      </c>
      <c r="E71" s="148">
        <f>E68</f>
        <v>9725</v>
      </c>
      <c r="F71" s="13">
        <f t="shared" si="0"/>
        <v>65157.5</v>
      </c>
      <c r="G71" s="147"/>
      <c r="H71" s="239"/>
      <c r="I71" s="138">
        <v>3000</v>
      </c>
      <c r="J71" s="141" t="s">
        <v>186</v>
      </c>
    </row>
    <row r="72" spans="1:10" ht="26.4" outlineLevel="1" x14ac:dyDescent="0.25">
      <c r="A72" s="7" t="s">
        <v>555</v>
      </c>
      <c r="B72" s="6" t="s">
        <v>556</v>
      </c>
      <c r="C72" s="9" t="s">
        <v>186</v>
      </c>
      <c r="D72" s="73">
        <v>74.099999999999994</v>
      </c>
      <c r="E72" s="148">
        <f>E68</f>
        <v>9725</v>
      </c>
      <c r="F72" s="13">
        <f t="shared" si="0"/>
        <v>720622.5</v>
      </c>
      <c r="G72" s="147"/>
      <c r="H72" s="240"/>
      <c r="I72" s="138">
        <v>1000</v>
      </c>
      <c r="J72" s="141" t="s">
        <v>186</v>
      </c>
    </row>
    <row r="73" spans="1:10" outlineLevel="1" x14ac:dyDescent="0.25">
      <c r="A73" s="7" t="s">
        <v>557</v>
      </c>
      <c r="B73" s="6" t="s">
        <v>558</v>
      </c>
      <c r="C73" s="9" t="s">
        <v>460</v>
      </c>
      <c r="D73" s="73">
        <v>36</v>
      </c>
      <c r="E73" s="74">
        <v>2000</v>
      </c>
      <c r="F73" s="13">
        <f t="shared" si="0"/>
        <v>72000</v>
      </c>
      <c r="G73" s="6"/>
      <c r="I73" s="135"/>
      <c r="J73" s="137"/>
    </row>
    <row r="74" spans="1:10" ht="25.2" customHeight="1" outlineLevel="1" x14ac:dyDescent="0.25">
      <c r="A74" s="7" t="s">
        <v>559</v>
      </c>
      <c r="B74" s="6" t="s">
        <v>560</v>
      </c>
      <c r="C74" s="9" t="s">
        <v>460</v>
      </c>
      <c r="D74" s="73">
        <v>24</v>
      </c>
      <c r="E74" s="74">
        <v>16500</v>
      </c>
      <c r="F74" s="13">
        <f t="shared" si="0"/>
        <v>396000</v>
      </c>
      <c r="G74" s="6"/>
      <c r="I74" s="135"/>
      <c r="J74" s="137"/>
    </row>
    <row r="75" spans="1:10" ht="30" customHeight="1" outlineLevel="1" x14ac:dyDescent="0.25">
      <c r="A75" s="7" t="s">
        <v>561</v>
      </c>
      <c r="B75" s="6" t="s">
        <v>562</v>
      </c>
      <c r="C75" s="9" t="s">
        <v>186</v>
      </c>
      <c r="D75" s="73">
        <v>12.7</v>
      </c>
      <c r="E75" s="74">
        <f>E72</f>
        <v>9725</v>
      </c>
      <c r="F75" s="13">
        <f t="shared" si="0"/>
        <v>123507.5</v>
      </c>
      <c r="G75" s="6"/>
      <c r="I75" s="135"/>
      <c r="J75" s="137"/>
    </row>
    <row r="76" spans="1:10" ht="26.4" outlineLevel="1" x14ac:dyDescent="0.25">
      <c r="A76" s="7" t="s">
        <v>563</v>
      </c>
      <c r="B76" s="6" t="s">
        <v>85</v>
      </c>
      <c r="C76" s="9" t="s">
        <v>457</v>
      </c>
      <c r="D76" s="73">
        <v>48.3</v>
      </c>
      <c r="E76" s="74">
        <v>450</v>
      </c>
      <c r="F76" s="13">
        <f t="shared" si="0"/>
        <v>21735</v>
      </c>
      <c r="G76" s="6"/>
      <c r="I76" s="135"/>
      <c r="J76" s="137"/>
    </row>
    <row r="77" spans="1:10" ht="39.6" outlineLevel="1" x14ac:dyDescent="0.25">
      <c r="A77" s="7" t="s">
        <v>564</v>
      </c>
      <c r="B77" s="6" t="s">
        <v>565</v>
      </c>
      <c r="C77" s="9" t="s">
        <v>186</v>
      </c>
      <c r="D77" s="73">
        <v>3.8</v>
      </c>
      <c r="E77" s="74">
        <v>1600</v>
      </c>
      <c r="F77" s="13">
        <f t="shared" si="0"/>
        <v>6080</v>
      </c>
      <c r="G77" s="6"/>
      <c r="I77" s="135"/>
      <c r="J77" s="137"/>
    </row>
    <row r="78" spans="1:10" ht="26.4" outlineLevel="1" x14ac:dyDescent="0.25">
      <c r="A78" s="7" t="s">
        <v>566</v>
      </c>
      <c r="B78" s="6" t="s">
        <v>567</v>
      </c>
      <c r="C78" s="9" t="s">
        <v>186</v>
      </c>
      <c r="D78" s="73">
        <v>5.4</v>
      </c>
      <c r="E78" s="74">
        <f>E58</f>
        <v>1300</v>
      </c>
      <c r="F78" s="13">
        <f t="shared" si="0"/>
        <v>7020.0000000000009</v>
      </c>
      <c r="G78" s="6"/>
      <c r="I78" s="135"/>
      <c r="J78" s="137"/>
    </row>
    <row r="79" spans="1:10" outlineLevel="1" x14ac:dyDescent="0.25">
      <c r="A79" s="7" t="s">
        <v>568</v>
      </c>
      <c r="B79" s="6" t="s">
        <v>569</v>
      </c>
      <c r="C79" s="9" t="s">
        <v>457</v>
      </c>
      <c r="D79" s="73">
        <v>43.2</v>
      </c>
      <c r="E79" s="74">
        <v>600</v>
      </c>
      <c r="F79" s="13">
        <f t="shared" si="0"/>
        <v>25920</v>
      </c>
      <c r="G79" s="6"/>
      <c r="I79" s="135"/>
      <c r="J79" s="137"/>
    </row>
    <row r="80" spans="1:10" x14ac:dyDescent="0.25">
      <c r="A80" s="70"/>
      <c r="B80" s="14" t="s">
        <v>570</v>
      </c>
      <c r="C80" s="70"/>
      <c r="D80" s="75"/>
      <c r="E80" s="76"/>
      <c r="F80" s="35">
        <f>SUM(F81:F101)</f>
        <v>579360</v>
      </c>
      <c r="G80" s="70"/>
      <c r="I80" s="135"/>
      <c r="J80" s="137"/>
    </row>
    <row r="81" spans="1:10" ht="42" customHeight="1" outlineLevel="1" x14ac:dyDescent="0.25">
      <c r="A81" s="7" t="s">
        <v>571</v>
      </c>
      <c r="B81" s="6" t="s">
        <v>572</v>
      </c>
      <c r="C81" s="39" t="s">
        <v>457</v>
      </c>
      <c r="D81" s="40">
        <v>400</v>
      </c>
      <c r="E81" s="41">
        <v>200</v>
      </c>
      <c r="F81" s="13">
        <f t="shared" si="0"/>
        <v>80000</v>
      </c>
      <c r="G81" s="6" t="s">
        <v>573</v>
      </c>
      <c r="I81" s="135"/>
      <c r="J81" s="137"/>
    </row>
    <row r="82" spans="1:10" ht="52.8" outlineLevel="1" x14ac:dyDescent="0.25">
      <c r="A82" s="7" t="s">
        <v>574</v>
      </c>
      <c r="B82" s="6" t="s">
        <v>575</v>
      </c>
      <c r="C82" s="39" t="s">
        <v>457</v>
      </c>
      <c r="D82" s="40">
        <v>200</v>
      </c>
      <c r="E82" s="41">
        <f>E81</f>
        <v>200</v>
      </c>
      <c r="F82" s="13">
        <f t="shared" si="0"/>
        <v>40000</v>
      </c>
      <c r="G82" s="6" t="s">
        <v>573</v>
      </c>
      <c r="I82" s="135"/>
      <c r="J82" s="137"/>
    </row>
    <row r="83" spans="1:10" ht="39.6" outlineLevel="1" x14ac:dyDescent="0.25">
      <c r="A83" s="7" t="s">
        <v>576</v>
      </c>
      <c r="B83" s="6" t="s">
        <v>577</v>
      </c>
      <c r="C83" s="39" t="s">
        <v>457</v>
      </c>
      <c r="D83" s="40">
        <v>80</v>
      </c>
      <c r="E83" s="41">
        <v>250</v>
      </c>
      <c r="F83" s="13">
        <f t="shared" si="0"/>
        <v>20000</v>
      </c>
      <c r="G83" s="6" t="s">
        <v>573</v>
      </c>
      <c r="I83" s="135"/>
      <c r="J83" s="137"/>
    </row>
    <row r="84" spans="1:10" ht="39.6" outlineLevel="1" x14ac:dyDescent="0.25">
      <c r="A84" s="7" t="s">
        <v>578</v>
      </c>
      <c r="B84" s="6" t="s">
        <v>579</v>
      </c>
      <c r="C84" s="39" t="s">
        <v>457</v>
      </c>
      <c r="D84" s="40">
        <v>150</v>
      </c>
      <c r="E84" s="41">
        <f>E83</f>
        <v>250</v>
      </c>
      <c r="F84" s="13">
        <f t="shared" si="0"/>
        <v>37500</v>
      </c>
      <c r="G84" s="6" t="s">
        <v>573</v>
      </c>
      <c r="I84" s="135"/>
      <c r="J84" s="137"/>
    </row>
    <row r="85" spans="1:10" ht="26.4" outlineLevel="1" x14ac:dyDescent="0.25">
      <c r="A85" s="7" t="s">
        <v>580</v>
      </c>
      <c r="B85" s="6" t="s">
        <v>581</v>
      </c>
      <c r="C85" s="39" t="s">
        <v>582</v>
      </c>
      <c r="D85" s="42">
        <v>24</v>
      </c>
      <c r="E85" s="41">
        <v>1950</v>
      </c>
      <c r="F85" s="13">
        <f t="shared" si="0"/>
        <v>46800</v>
      </c>
      <c r="G85" s="6"/>
      <c r="I85" s="138">
        <v>800</v>
      </c>
      <c r="J85" s="141" t="s">
        <v>460</v>
      </c>
    </row>
    <row r="86" spans="1:10" ht="14.4" customHeight="1" outlineLevel="1" x14ac:dyDescent="0.25">
      <c r="A86" s="7" t="s">
        <v>583</v>
      </c>
      <c r="B86" s="6" t="s">
        <v>584</v>
      </c>
      <c r="C86" s="7" t="s">
        <v>582</v>
      </c>
      <c r="D86" s="73">
        <v>15</v>
      </c>
      <c r="E86" s="74">
        <f>E85</f>
        <v>1950</v>
      </c>
      <c r="F86" s="13">
        <f t="shared" si="0"/>
        <v>29250</v>
      </c>
      <c r="G86" s="6"/>
      <c r="I86" s="138">
        <v>800</v>
      </c>
      <c r="J86" s="141" t="s">
        <v>460</v>
      </c>
    </row>
    <row r="87" spans="1:10" outlineLevel="1" x14ac:dyDescent="0.25">
      <c r="A87" s="7" t="s">
        <v>585</v>
      </c>
      <c r="B87" s="6" t="s">
        <v>586</v>
      </c>
      <c r="C87" s="7" t="s">
        <v>582</v>
      </c>
      <c r="D87" s="73">
        <v>24</v>
      </c>
      <c r="E87" s="74">
        <v>1700</v>
      </c>
      <c r="F87" s="13">
        <f t="shared" si="0"/>
        <v>40800</v>
      </c>
      <c r="G87" s="6"/>
      <c r="I87" s="135"/>
      <c r="J87" s="137"/>
    </row>
    <row r="88" spans="1:10" outlineLevel="1" x14ac:dyDescent="0.25">
      <c r="A88" s="7" t="s">
        <v>587</v>
      </c>
      <c r="B88" s="6" t="s">
        <v>588</v>
      </c>
      <c r="C88" s="7" t="s">
        <v>582</v>
      </c>
      <c r="D88" s="73">
        <v>24</v>
      </c>
      <c r="E88" s="74">
        <f>E86</f>
        <v>1950</v>
      </c>
      <c r="F88" s="13">
        <f t="shared" si="0"/>
        <v>46800</v>
      </c>
      <c r="G88" s="6"/>
      <c r="I88" s="135"/>
      <c r="J88" s="137"/>
    </row>
    <row r="89" spans="1:10" outlineLevel="1" x14ac:dyDescent="0.25">
      <c r="A89" s="7" t="s">
        <v>589</v>
      </c>
      <c r="B89" s="6" t="s">
        <v>590</v>
      </c>
      <c r="C89" s="7" t="s">
        <v>582</v>
      </c>
      <c r="D89" s="73">
        <v>18</v>
      </c>
      <c r="E89" s="74">
        <v>3000</v>
      </c>
      <c r="F89" s="13">
        <f t="shared" ref="F89:F119" si="1">D89*E89</f>
        <v>54000</v>
      </c>
      <c r="G89" s="6"/>
      <c r="I89" s="135"/>
      <c r="J89" s="137"/>
    </row>
    <row r="90" spans="1:10" outlineLevel="1" x14ac:dyDescent="0.25">
      <c r="A90" s="7" t="s">
        <v>591</v>
      </c>
      <c r="B90" s="6" t="s">
        <v>592</v>
      </c>
      <c r="C90" s="7" t="s">
        <v>582</v>
      </c>
      <c r="D90" s="73">
        <v>102</v>
      </c>
      <c r="E90" s="74">
        <v>380</v>
      </c>
      <c r="F90" s="13">
        <f t="shared" si="1"/>
        <v>38760</v>
      </c>
      <c r="G90" s="6" t="s">
        <v>573</v>
      </c>
      <c r="I90" s="135"/>
      <c r="J90" s="137"/>
    </row>
    <row r="91" spans="1:10" ht="26.4" outlineLevel="1" x14ac:dyDescent="0.25">
      <c r="A91" s="7" t="s">
        <v>593</v>
      </c>
      <c r="B91" s="6" t="s">
        <v>594</v>
      </c>
      <c r="C91" s="7" t="s">
        <v>460</v>
      </c>
      <c r="D91" s="73">
        <v>53</v>
      </c>
      <c r="E91" s="74">
        <v>1600</v>
      </c>
      <c r="F91" s="13">
        <f t="shared" si="1"/>
        <v>84800</v>
      </c>
      <c r="G91" s="6"/>
      <c r="I91" s="135"/>
      <c r="J91" s="137"/>
    </row>
    <row r="92" spans="1:10" outlineLevel="1" x14ac:dyDescent="0.25">
      <c r="A92" s="7" t="s">
        <v>595</v>
      </c>
      <c r="B92" s="6" t="s">
        <v>596</v>
      </c>
      <c r="C92" s="7" t="s">
        <v>460</v>
      </c>
      <c r="D92" s="73">
        <v>6</v>
      </c>
      <c r="E92" s="74">
        <v>4500</v>
      </c>
      <c r="F92" s="13">
        <f t="shared" si="1"/>
        <v>27000</v>
      </c>
      <c r="G92" s="6"/>
      <c r="I92" s="135"/>
      <c r="J92" s="137"/>
    </row>
    <row r="93" spans="1:10" ht="13.8" outlineLevel="1" x14ac:dyDescent="0.25">
      <c r="A93" s="7" t="s">
        <v>597</v>
      </c>
      <c r="B93" s="121" t="s">
        <v>598</v>
      </c>
      <c r="C93" s="48" t="s">
        <v>290</v>
      </c>
      <c r="D93" s="99">
        <v>22</v>
      </c>
      <c r="E93" s="122">
        <v>200</v>
      </c>
      <c r="F93" s="45">
        <f t="shared" si="1"/>
        <v>4400</v>
      </c>
      <c r="G93" s="6"/>
      <c r="I93" s="135"/>
      <c r="J93" s="137"/>
    </row>
    <row r="94" spans="1:10" ht="13.8" outlineLevel="1" x14ac:dyDescent="0.25">
      <c r="A94" s="7" t="s">
        <v>599</v>
      </c>
      <c r="B94" s="121" t="s">
        <v>600</v>
      </c>
      <c r="C94" s="48" t="s">
        <v>290</v>
      </c>
      <c r="D94" s="99">
        <v>17</v>
      </c>
      <c r="E94" s="122">
        <v>200</v>
      </c>
      <c r="F94" s="45">
        <f t="shared" si="1"/>
        <v>3400</v>
      </c>
      <c r="G94" s="6"/>
      <c r="I94" s="135"/>
      <c r="J94" s="137"/>
    </row>
    <row r="95" spans="1:10" ht="13.8" outlineLevel="1" x14ac:dyDescent="0.25">
      <c r="A95" s="7" t="s">
        <v>601</v>
      </c>
      <c r="B95" s="121" t="s">
        <v>602</v>
      </c>
      <c r="C95" s="48" t="s">
        <v>290</v>
      </c>
      <c r="D95" s="99">
        <v>20</v>
      </c>
      <c r="E95" s="122">
        <v>300</v>
      </c>
      <c r="F95" s="45">
        <f t="shared" si="1"/>
        <v>6000</v>
      </c>
      <c r="G95" s="6"/>
      <c r="I95" s="135"/>
      <c r="J95" s="137"/>
    </row>
    <row r="96" spans="1:10" ht="40.950000000000003" customHeight="1" outlineLevel="1" x14ac:dyDescent="0.25">
      <c r="A96" s="7" t="s">
        <v>603</v>
      </c>
      <c r="B96" s="121" t="s">
        <v>126</v>
      </c>
      <c r="C96" s="48" t="s">
        <v>460</v>
      </c>
      <c r="D96" s="99">
        <f>D87+D88</f>
        <v>48</v>
      </c>
      <c r="E96" s="123">
        <v>150</v>
      </c>
      <c r="F96" s="45">
        <f t="shared" si="1"/>
        <v>7200</v>
      </c>
      <c r="G96" s="6"/>
      <c r="I96" s="135"/>
      <c r="J96" s="137"/>
    </row>
    <row r="97" spans="1:10" ht="41.4" outlineLevel="1" x14ac:dyDescent="0.25">
      <c r="A97" s="7" t="s">
        <v>604</v>
      </c>
      <c r="B97" s="121" t="s">
        <v>605</v>
      </c>
      <c r="C97" s="48" t="s">
        <v>460</v>
      </c>
      <c r="D97" s="99">
        <v>12</v>
      </c>
      <c r="E97" s="123">
        <v>250</v>
      </c>
      <c r="F97" s="45">
        <f t="shared" si="1"/>
        <v>3000</v>
      </c>
      <c r="G97" s="6"/>
      <c r="I97" s="135"/>
      <c r="J97" s="137"/>
    </row>
    <row r="98" spans="1:10" ht="13.8" outlineLevel="1" x14ac:dyDescent="0.25">
      <c r="A98" s="7" t="s">
        <v>606</v>
      </c>
      <c r="B98" s="121" t="s">
        <v>607</v>
      </c>
      <c r="C98" s="48" t="s">
        <v>460</v>
      </c>
      <c r="D98" s="99">
        <v>2</v>
      </c>
      <c r="E98" s="123">
        <v>450</v>
      </c>
      <c r="F98" s="45">
        <f t="shared" si="1"/>
        <v>900</v>
      </c>
      <c r="G98" s="6"/>
      <c r="I98" s="135"/>
      <c r="J98" s="137"/>
    </row>
    <row r="99" spans="1:10" ht="27.6" outlineLevel="1" x14ac:dyDescent="0.25">
      <c r="A99" s="7" t="s">
        <v>608</v>
      </c>
      <c r="B99" s="121" t="s">
        <v>609</v>
      </c>
      <c r="C99" s="48" t="s">
        <v>460</v>
      </c>
      <c r="D99" s="99">
        <f>D85+D86</f>
        <v>39</v>
      </c>
      <c r="E99" s="123">
        <v>150</v>
      </c>
      <c r="F99" s="45">
        <f t="shared" si="1"/>
        <v>5850</v>
      </c>
      <c r="G99" s="6"/>
      <c r="I99" s="135"/>
      <c r="J99" s="137"/>
    </row>
    <row r="100" spans="1:10" ht="27.6" outlineLevel="1" x14ac:dyDescent="0.25">
      <c r="A100" s="7" t="s">
        <v>610</v>
      </c>
      <c r="B100" s="121" t="s">
        <v>611</v>
      </c>
      <c r="C100" s="48" t="s">
        <v>460</v>
      </c>
      <c r="D100" s="99">
        <v>24</v>
      </c>
      <c r="E100" s="123">
        <v>100</v>
      </c>
      <c r="F100" s="45">
        <f t="shared" si="1"/>
        <v>2400</v>
      </c>
      <c r="G100" s="6"/>
      <c r="I100" s="135"/>
      <c r="J100" s="137"/>
    </row>
    <row r="101" spans="1:10" ht="13.8" outlineLevel="1" x14ac:dyDescent="0.25">
      <c r="A101" s="7" t="s">
        <v>612</v>
      </c>
      <c r="B101" s="121" t="s">
        <v>613</v>
      </c>
      <c r="C101" s="48" t="s">
        <v>460</v>
      </c>
      <c r="D101" s="99">
        <v>1</v>
      </c>
      <c r="E101" s="123">
        <v>500</v>
      </c>
      <c r="F101" s="45">
        <f t="shared" si="1"/>
        <v>500</v>
      </c>
      <c r="G101" s="6"/>
      <c r="I101" s="135"/>
      <c r="J101" s="137"/>
    </row>
    <row r="102" spans="1:10" x14ac:dyDescent="0.25">
      <c r="A102" s="70"/>
      <c r="B102" s="14" t="s">
        <v>132</v>
      </c>
      <c r="C102" s="70"/>
      <c r="D102" s="75"/>
      <c r="E102" s="76"/>
      <c r="F102" s="35">
        <f>SUM(F103:F110)</f>
        <v>676050</v>
      </c>
      <c r="G102" s="70"/>
      <c r="I102" s="135"/>
      <c r="J102" s="137"/>
    </row>
    <row r="103" spans="1:10" ht="15.6" customHeight="1" outlineLevel="1" x14ac:dyDescent="0.25">
      <c r="A103" s="7" t="s">
        <v>614</v>
      </c>
      <c r="B103" s="6" t="s">
        <v>615</v>
      </c>
      <c r="C103" s="7" t="s">
        <v>616</v>
      </c>
      <c r="D103" s="73">
        <v>36</v>
      </c>
      <c r="E103" s="74">
        <v>200</v>
      </c>
      <c r="F103" s="13">
        <f t="shared" si="1"/>
        <v>7200</v>
      </c>
      <c r="G103" s="246" t="s">
        <v>617</v>
      </c>
      <c r="I103" s="135"/>
      <c r="J103" s="137"/>
    </row>
    <row r="104" spans="1:10" ht="26.4" outlineLevel="1" x14ac:dyDescent="0.25">
      <c r="A104" s="7" t="s">
        <v>618</v>
      </c>
      <c r="B104" s="6" t="s">
        <v>619</v>
      </c>
      <c r="C104" s="7" t="s">
        <v>616</v>
      </c>
      <c r="D104" s="73">
        <v>27</v>
      </c>
      <c r="E104" s="74">
        <v>150</v>
      </c>
      <c r="F104" s="13">
        <f t="shared" si="1"/>
        <v>4050</v>
      </c>
      <c r="G104" s="247"/>
      <c r="I104" s="135"/>
      <c r="J104" s="137"/>
    </row>
    <row r="105" spans="1:10" ht="26.4" outlineLevel="1" x14ac:dyDescent="0.25">
      <c r="A105" s="7" t="s">
        <v>620</v>
      </c>
      <c r="B105" s="6" t="s">
        <v>621</v>
      </c>
      <c r="C105" s="7" t="s">
        <v>616</v>
      </c>
      <c r="D105" s="73">
        <v>36</v>
      </c>
      <c r="E105" s="74">
        <f>E104</f>
        <v>150</v>
      </c>
      <c r="F105" s="13">
        <f t="shared" si="1"/>
        <v>5400</v>
      </c>
      <c r="G105" s="247"/>
      <c r="I105" s="135"/>
      <c r="J105" s="137"/>
    </row>
    <row r="106" spans="1:10" ht="26.4" outlineLevel="1" x14ac:dyDescent="0.25">
      <c r="A106" s="7" t="s">
        <v>622</v>
      </c>
      <c r="B106" s="6" t="s">
        <v>145</v>
      </c>
      <c r="C106" s="7" t="s">
        <v>616</v>
      </c>
      <c r="D106" s="73">
        <v>36</v>
      </c>
      <c r="E106" s="74">
        <v>500</v>
      </c>
      <c r="F106" s="13">
        <f t="shared" si="1"/>
        <v>18000</v>
      </c>
      <c r="G106" s="247"/>
      <c r="I106" s="135"/>
      <c r="J106" s="137"/>
    </row>
    <row r="107" spans="1:10" outlineLevel="1" x14ac:dyDescent="0.25">
      <c r="A107" s="7" t="s">
        <v>623</v>
      </c>
      <c r="B107" s="6" t="s">
        <v>624</v>
      </c>
      <c r="C107" s="7" t="s">
        <v>616</v>
      </c>
      <c r="D107" s="73">
        <v>30</v>
      </c>
      <c r="E107" s="74">
        <f>E106</f>
        <v>500</v>
      </c>
      <c r="F107" s="13">
        <f t="shared" si="1"/>
        <v>15000</v>
      </c>
      <c r="G107" s="247"/>
      <c r="I107" s="135"/>
      <c r="J107" s="137"/>
    </row>
    <row r="108" spans="1:10" ht="26.4" outlineLevel="1" x14ac:dyDescent="0.25">
      <c r="A108" s="7" t="s">
        <v>625</v>
      </c>
      <c r="B108" s="6" t="s">
        <v>626</v>
      </c>
      <c r="C108" s="7" t="s">
        <v>616</v>
      </c>
      <c r="D108" s="73">
        <v>33</v>
      </c>
      <c r="E108" s="74">
        <v>800</v>
      </c>
      <c r="F108" s="13">
        <f t="shared" si="1"/>
        <v>26400</v>
      </c>
      <c r="G108" s="248"/>
      <c r="I108" s="135"/>
      <c r="J108" s="137"/>
    </row>
    <row r="109" spans="1:10" ht="26.4" outlineLevel="1" x14ac:dyDescent="0.25">
      <c r="A109" s="7" t="s">
        <v>627</v>
      </c>
      <c r="B109" s="6" t="s">
        <v>628</v>
      </c>
      <c r="C109" s="7" t="s">
        <v>616</v>
      </c>
      <c r="D109" s="42">
        <v>3</v>
      </c>
      <c r="E109" s="41">
        <v>100000</v>
      </c>
      <c r="F109" s="45">
        <f t="shared" si="1"/>
        <v>300000</v>
      </c>
      <c r="G109" s="249" t="s">
        <v>629</v>
      </c>
      <c r="I109" s="135"/>
      <c r="J109" s="137"/>
    </row>
    <row r="110" spans="1:10" ht="26.4" outlineLevel="1" x14ac:dyDescent="0.25">
      <c r="A110" s="7" t="s">
        <v>630</v>
      </c>
      <c r="B110" s="6" t="s">
        <v>631</v>
      </c>
      <c r="C110" s="7" t="s">
        <v>616</v>
      </c>
      <c r="D110" s="42">
        <v>3</v>
      </c>
      <c r="E110" s="41">
        <v>100000</v>
      </c>
      <c r="F110" s="47">
        <f t="shared" si="1"/>
        <v>300000</v>
      </c>
      <c r="G110" s="250"/>
      <c r="I110" s="135"/>
      <c r="J110" s="137"/>
    </row>
    <row r="111" spans="1:10" ht="63" customHeight="1" x14ac:dyDescent="0.25">
      <c r="A111" s="70"/>
      <c r="B111" s="251" t="s">
        <v>632</v>
      </c>
      <c r="C111" s="252"/>
      <c r="D111" s="252"/>
      <c r="E111" s="252"/>
      <c r="F111" s="33">
        <f>SUM(F112:F119)</f>
        <v>124800</v>
      </c>
      <c r="G111" s="77"/>
      <c r="I111" s="135"/>
      <c r="J111" s="137"/>
    </row>
    <row r="112" spans="1:10" outlineLevel="1" x14ac:dyDescent="0.25">
      <c r="A112" s="7" t="s">
        <v>633</v>
      </c>
      <c r="B112" s="6" t="s">
        <v>634</v>
      </c>
      <c r="C112" s="7" t="s">
        <v>616</v>
      </c>
      <c r="D112" s="73">
        <v>24</v>
      </c>
      <c r="E112" s="74">
        <v>1700</v>
      </c>
      <c r="F112" s="28">
        <f t="shared" si="1"/>
        <v>40800</v>
      </c>
      <c r="G112" s="230" t="s">
        <v>617</v>
      </c>
      <c r="I112" s="136"/>
      <c r="J112" s="142"/>
    </row>
    <row r="113" spans="1:10" outlineLevel="1" x14ac:dyDescent="0.25">
      <c r="A113" s="7" t="s">
        <v>635</v>
      </c>
      <c r="B113" s="6" t="s">
        <v>636</v>
      </c>
      <c r="C113" s="7" t="s">
        <v>616</v>
      </c>
      <c r="D113" s="73">
        <v>24</v>
      </c>
      <c r="E113" s="74">
        <v>1200</v>
      </c>
      <c r="F113" s="13">
        <f t="shared" si="1"/>
        <v>28800</v>
      </c>
      <c r="G113" s="231"/>
      <c r="I113" s="135"/>
      <c r="J113" s="137"/>
    </row>
    <row r="114" spans="1:10" outlineLevel="1" x14ac:dyDescent="0.25">
      <c r="A114" s="7" t="s">
        <v>637</v>
      </c>
      <c r="B114" s="6" t="s">
        <v>638</v>
      </c>
      <c r="C114" s="7" t="s">
        <v>616</v>
      </c>
      <c r="D114" s="73">
        <v>3</v>
      </c>
      <c r="E114" s="74">
        <v>4000</v>
      </c>
      <c r="F114" s="13">
        <f t="shared" si="1"/>
        <v>12000</v>
      </c>
      <c r="G114" s="231"/>
      <c r="I114" s="135"/>
      <c r="J114" s="137"/>
    </row>
    <row r="115" spans="1:10" outlineLevel="1" x14ac:dyDescent="0.25">
      <c r="A115" s="7" t="s">
        <v>639</v>
      </c>
      <c r="B115" s="6" t="s">
        <v>640</v>
      </c>
      <c r="C115" s="7" t="s">
        <v>616</v>
      </c>
      <c r="D115" s="73">
        <v>3</v>
      </c>
      <c r="E115" s="74">
        <v>3000</v>
      </c>
      <c r="F115" s="13">
        <f t="shared" si="1"/>
        <v>9000</v>
      </c>
      <c r="G115" s="231"/>
      <c r="I115" s="135"/>
      <c r="J115" s="137"/>
    </row>
    <row r="116" spans="1:10" outlineLevel="1" x14ac:dyDescent="0.25">
      <c r="A116" s="7" t="s">
        <v>641</v>
      </c>
      <c r="B116" s="6" t="s">
        <v>642</v>
      </c>
      <c r="C116" s="7" t="s">
        <v>616</v>
      </c>
      <c r="D116" s="73">
        <v>3</v>
      </c>
      <c r="E116" s="74">
        <v>1700</v>
      </c>
      <c r="F116" s="13">
        <f t="shared" si="1"/>
        <v>5100</v>
      </c>
      <c r="G116" s="231"/>
      <c r="I116" s="135"/>
      <c r="J116" s="137"/>
    </row>
    <row r="117" spans="1:10" outlineLevel="1" x14ac:dyDescent="0.25">
      <c r="A117" s="7" t="s">
        <v>643</v>
      </c>
      <c r="B117" s="6" t="s">
        <v>644</v>
      </c>
      <c r="C117" s="7" t="s">
        <v>616</v>
      </c>
      <c r="D117" s="73">
        <v>3</v>
      </c>
      <c r="E117" s="74">
        <v>1700</v>
      </c>
      <c r="F117" s="13">
        <f>D117*E117</f>
        <v>5100</v>
      </c>
      <c r="G117" s="231"/>
      <c r="I117" s="135"/>
      <c r="J117" s="137"/>
    </row>
    <row r="118" spans="1:10" outlineLevel="1" x14ac:dyDescent="0.25">
      <c r="A118" s="7" t="s">
        <v>645</v>
      </c>
      <c r="B118" s="6" t="s">
        <v>646</v>
      </c>
      <c r="C118" s="7" t="s">
        <v>616</v>
      </c>
      <c r="D118" s="73">
        <v>24</v>
      </c>
      <c r="E118" s="74">
        <v>500</v>
      </c>
      <c r="F118" s="13">
        <f t="shared" si="1"/>
        <v>12000</v>
      </c>
      <c r="G118" s="231"/>
      <c r="I118" s="135"/>
      <c r="J118" s="137"/>
    </row>
    <row r="119" spans="1:10" outlineLevel="1" x14ac:dyDescent="0.25">
      <c r="A119" s="7" t="s">
        <v>647</v>
      </c>
      <c r="B119" s="6" t="s">
        <v>648</v>
      </c>
      <c r="C119" s="7" t="s">
        <v>616</v>
      </c>
      <c r="D119" s="73">
        <v>24</v>
      </c>
      <c r="E119" s="74">
        <v>500</v>
      </c>
      <c r="F119" s="13">
        <f t="shared" si="1"/>
        <v>12000</v>
      </c>
      <c r="G119" s="231"/>
      <c r="I119" s="135"/>
      <c r="J119" s="137"/>
    </row>
    <row r="120" spans="1:10" ht="22.95" customHeight="1" x14ac:dyDescent="0.25">
      <c r="A120" s="7"/>
      <c r="B120" s="5" t="s">
        <v>649</v>
      </c>
      <c r="C120" s="6"/>
      <c r="D120" s="34"/>
      <c r="E120" s="32"/>
      <c r="F120" s="78" t="e">
        <f>F111+F102+F80+F35+F20</f>
        <v>#VALUE!</v>
      </c>
      <c r="G120" s="232"/>
      <c r="I120" s="135"/>
      <c r="J120" s="137"/>
    </row>
    <row r="121" spans="1:10" x14ac:dyDescent="0.25">
      <c r="A121" s="15" t="s">
        <v>433</v>
      </c>
      <c r="B121" s="36" t="s">
        <v>180</v>
      </c>
      <c r="C121" s="70"/>
      <c r="D121" s="70"/>
      <c r="E121" s="79"/>
      <c r="F121" s="80"/>
      <c r="G121" s="70"/>
      <c r="I121" s="135"/>
      <c r="J121" s="137"/>
    </row>
    <row r="122" spans="1:10" ht="25.95" customHeight="1" x14ac:dyDescent="0.25">
      <c r="A122" s="81"/>
      <c r="B122" s="233" t="s">
        <v>448</v>
      </c>
      <c r="C122" s="234"/>
      <c r="D122" s="234"/>
      <c r="E122" s="235"/>
      <c r="F122" s="59">
        <f>SUM(F123)</f>
        <v>300000</v>
      </c>
      <c r="G122" s="27"/>
      <c r="I122" s="135"/>
      <c r="J122" s="137"/>
    </row>
    <row r="123" spans="1:10" ht="44.4" customHeight="1" outlineLevel="1" x14ac:dyDescent="0.25">
      <c r="A123" s="38" t="s">
        <v>650</v>
      </c>
      <c r="B123" s="18" t="s">
        <v>651</v>
      </c>
      <c r="C123" s="19"/>
      <c r="D123" s="82"/>
      <c r="E123" s="83"/>
      <c r="F123" s="58">
        <v>300000</v>
      </c>
      <c r="G123" s="25" t="s">
        <v>652</v>
      </c>
      <c r="I123" s="228" t="s">
        <v>653</v>
      </c>
      <c r="J123" s="229"/>
    </row>
    <row r="124" spans="1:10" x14ac:dyDescent="0.25">
      <c r="A124" s="84"/>
      <c r="B124" s="17" t="s">
        <v>29</v>
      </c>
      <c r="C124" s="85"/>
      <c r="D124" s="86"/>
      <c r="E124" s="86"/>
      <c r="F124" s="87">
        <f>SUM(F125:F190)</f>
        <v>15423898.633690227</v>
      </c>
      <c r="G124" s="85"/>
      <c r="I124" s="135"/>
      <c r="J124" s="137"/>
    </row>
    <row r="125" spans="1:10" outlineLevel="2" x14ac:dyDescent="0.25">
      <c r="A125" s="51" t="s">
        <v>654</v>
      </c>
      <c r="B125" s="6" t="s">
        <v>184</v>
      </c>
      <c r="C125" s="20" t="s">
        <v>186</v>
      </c>
      <c r="D125" s="88">
        <v>175.87900000000005</v>
      </c>
      <c r="E125" s="49">
        <v>850</v>
      </c>
      <c r="F125" s="13">
        <f>D125*E125</f>
        <v>149497.15000000005</v>
      </c>
      <c r="G125" s="18"/>
      <c r="I125" s="135"/>
      <c r="J125" s="137"/>
    </row>
    <row r="126" spans="1:10" outlineLevel="2" x14ac:dyDescent="0.25">
      <c r="A126" s="38" t="s">
        <v>655</v>
      </c>
      <c r="B126" s="6" t="s">
        <v>656</v>
      </c>
      <c r="C126" s="20" t="s">
        <v>460</v>
      </c>
      <c r="D126" s="88">
        <v>488</v>
      </c>
      <c r="E126" s="49">
        <v>1100</v>
      </c>
      <c r="F126" s="13">
        <f t="shared" ref="F126:F192" si="2">D126*E126</f>
        <v>536800</v>
      </c>
      <c r="G126" s="18"/>
      <c r="I126" s="135"/>
      <c r="J126" s="137"/>
    </row>
    <row r="127" spans="1:10" outlineLevel="2" x14ac:dyDescent="0.25">
      <c r="A127" s="38" t="s">
        <v>657</v>
      </c>
      <c r="B127" s="6" t="s">
        <v>188</v>
      </c>
      <c r="C127" s="20" t="s">
        <v>460</v>
      </c>
      <c r="D127" s="88">
        <v>41</v>
      </c>
      <c r="E127" s="49">
        <v>200</v>
      </c>
      <c r="F127" s="13">
        <f t="shared" si="2"/>
        <v>8200</v>
      </c>
      <c r="G127" s="18"/>
      <c r="I127" s="135"/>
      <c r="J127" s="137"/>
    </row>
    <row r="128" spans="1:10" outlineLevel="2" x14ac:dyDescent="0.25">
      <c r="A128" s="38" t="s">
        <v>658</v>
      </c>
      <c r="B128" s="6" t="s">
        <v>191</v>
      </c>
      <c r="C128" s="20" t="s">
        <v>460</v>
      </c>
      <c r="D128" s="88">
        <v>247</v>
      </c>
      <c r="E128" s="49">
        <v>150</v>
      </c>
      <c r="F128" s="13">
        <f t="shared" si="2"/>
        <v>37050</v>
      </c>
      <c r="G128" s="18"/>
      <c r="I128" s="135"/>
      <c r="J128" s="137"/>
    </row>
    <row r="129" spans="1:10" outlineLevel="2" x14ac:dyDescent="0.25">
      <c r="A129" s="38" t="s">
        <v>659</v>
      </c>
      <c r="B129" s="6" t="s">
        <v>194</v>
      </c>
      <c r="C129" s="20" t="s">
        <v>460</v>
      </c>
      <c r="D129" s="88">
        <v>247</v>
      </c>
      <c r="E129" s="49">
        <v>100</v>
      </c>
      <c r="F129" s="13">
        <f t="shared" si="2"/>
        <v>24700</v>
      </c>
      <c r="G129" s="18"/>
      <c r="I129" s="135"/>
      <c r="J129" s="137"/>
    </row>
    <row r="130" spans="1:10" outlineLevel="2" x14ac:dyDescent="0.25">
      <c r="A130" s="38" t="s">
        <v>660</v>
      </c>
      <c r="B130" s="6" t="s">
        <v>197</v>
      </c>
      <c r="C130" s="20" t="s">
        <v>460</v>
      </c>
      <c r="D130" s="88">
        <v>124</v>
      </c>
      <c r="E130" s="49">
        <v>10</v>
      </c>
      <c r="F130" s="13">
        <f t="shared" si="2"/>
        <v>1240</v>
      </c>
      <c r="G130" s="18"/>
      <c r="I130" s="135"/>
      <c r="J130" s="137"/>
    </row>
    <row r="131" spans="1:10" outlineLevel="2" x14ac:dyDescent="0.25">
      <c r="A131" s="38" t="s">
        <v>661</v>
      </c>
      <c r="B131" s="6" t="s">
        <v>662</v>
      </c>
      <c r="C131" s="20" t="s">
        <v>460</v>
      </c>
      <c r="D131" s="88">
        <v>30</v>
      </c>
      <c r="E131" s="49">
        <v>200</v>
      </c>
      <c r="F131" s="13">
        <f t="shared" si="2"/>
        <v>6000</v>
      </c>
      <c r="G131" s="18"/>
      <c r="I131" s="135"/>
      <c r="J131" s="137"/>
    </row>
    <row r="132" spans="1:10" outlineLevel="2" x14ac:dyDescent="0.25">
      <c r="A132" s="38" t="s">
        <v>663</v>
      </c>
      <c r="B132" s="6" t="s">
        <v>664</v>
      </c>
      <c r="C132" s="20" t="s">
        <v>665</v>
      </c>
      <c r="D132" s="88">
        <f>(D47*0.05)*1.1*0.21</f>
        <v>10.563341250000001</v>
      </c>
      <c r="E132" s="49">
        <v>11000</v>
      </c>
      <c r="F132" s="13">
        <f t="shared" si="2"/>
        <v>116196.75375</v>
      </c>
      <c r="G132" s="18"/>
      <c r="I132" s="135"/>
      <c r="J132" s="137"/>
    </row>
    <row r="133" spans="1:10" outlineLevel="2" x14ac:dyDescent="0.25">
      <c r="A133" s="38" t="s">
        <v>666</v>
      </c>
      <c r="B133" s="6" t="s">
        <v>667</v>
      </c>
      <c r="C133" s="20" t="s">
        <v>665</v>
      </c>
      <c r="D133" s="88">
        <f>(D47*0.05)*1.1*0.92</f>
        <v>46.277495000000009</v>
      </c>
      <c r="E133" s="49">
        <v>9000</v>
      </c>
      <c r="F133" s="13">
        <f t="shared" si="2"/>
        <v>416497.45500000007</v>
      </c>
      <c r="G133" s="18"/>
      <c r="I133" s="135"/>
      <c r="J133" s="137"/>
    </row>
    <row r="134" spans="1:10" ht="26.4" outlineLevel="2" x14ac:dyDescent="0.25">
      <c r="A134" s="38" t="s">
        <v>668</v>
      </c>
      <c r="B134" s="6" t="s">
        <v>669</v>
      </c>
      <c r="C134" s="20" t="s">
        <v>665</v>
      </c>
      <c r="D134" s="88">
        <f>(D47*0.05)*1.1*1.08</f>
        <v>54.325755000000015</v>
      </c>
      <c r="E134" s="49">
        <v>420</v>
      </c>
      <c r="F134" s="13">
        <f t="shared" si="2"/>
        <v>22816.817100000007</v>
      </c>
      <c r="G134" s="18"/>
      <c r="I134" s="135"/>
      <c r="J134" s="137"/>
    </row>
    <row r="135" spans="1:10" outlineLevel="2" x14ac:dyDescent="0.25">
      <c r="A135" s="38" t="s">
        <v>670</v>
      </c>
      <c r="B135" s="43" t="s">
        <v>671</v>
      </c>
      <c r="C135" s="20" t="s">
        <v>672</v>
      </c>
      <c r="D135" s="88">
        <f>D48*17</f>
        <v>527</v>
      </c>
      <c r="E135" s="49">
        <v>25</v>
      </c>
      <c r="F135" s="13">
        <f t="shared" si="2"/>
        <v>13175</v>
      </c>
      <c r="G135" s="18"/>
      <c r="I135" s="135"/>
      <c r="J135" s="137"/>
    </row>
    <row r="136" spans="1:10" outlineLevel="2" x14ac:dyDescent="0.25">
      <c r="A136" s="38" t="s">
        <v>673</v>
      </c>
      <c r="B136" s="6" t="s">
        <v>674</v>
      </c>
      <c r="C136" s="20" t="s">
        <v>672</v>
      </c>
      <c r="D136" s="88">
        <f>(D36+D53)*3.5</f>
        <v>612.15</v>
      </c>
      <c r="E136" s="49">
        <f>1800/25</f>
        <v>72</v>
      </c>
      <c r="F136" s="13">
        <f t="shared" si="2"/>
        <v>44074.799999999996</v>
      </c>
      <c r="G136" s="18"/>
      <c r="I136" s="135"/>
      <c r="J136" s="137"/>
    </row>
    <row r="137" spans="1:10" outlineLevel="2" x14ac:dyDescent="0.25">
      <c r="A137" s="38" t="s">
        <v>675</v>
      </c>
      <c r="B137" s="6" t="s">
        <v>676</v>
      </c>
      <c r="C137" s="20" t="s">
        <v>186</v>
      </c>
      <c r="D137" s="88">
        <v>78</v>
      </c>
      <c r="E137" s="49">
        <v>330</v>
      </c>
      <c r="F137" s="13">
        <f t="shared" si="2"/>
        <v>25740</v>
      </c>
      <c r="G137" s="18"/>
      <c r="I137" s="135"/>
      <c r="J137" s="137"/>
    </row>
    <row r="138" spans="1:10" ht="15" customHeight="1" outlineLevel="2" x14ac:dyDescent="0.25">
      <c r="A138" s="38" t="s">
        <v>677</v>
      </c>
      <c r="B138" s="6" t="s">
        <v>678</v>
      </c>
      <c r="C138" s="20" t="s">
        <v>672</v>
      </c>
      <c r="D138" s="88">
        <f>(D55+D56+D57+D58+D60*0.1)*8</f>
        <v>6280</v>
      </c>
      <c r="E138" s="49">
        <v>35</v>
      </c>
      <c r="F138" s="13">
        <f t="shared" si="2"/>
        <v>219800</v>
      </c>
      <c r="G138" s="18"/>
      <c r="I138" s="135"/>
      <c r="J138" s="137"/>
    </row>
    <row r="139" spans="1:10" outlineLevel="2" x14ac:dyDescent="0.25">
      <c r="A139" s="38" t="s">
        <v>679</v>
      </c>
      <c r="B139" s="6" t="s">
        <v>210</v>
      </c>
      <c r="C139" s="20" t="s">
        <v>186</v>
      </c>
      <c r="D139" s="88">
        <v>731.16120000000012</v>
      </c>
      <c r="E139" s="49">
        <v>1300</v>
      </c>
      <c r="F139" s="13">
        <f t="shared" si="2"/>
        <v>950509.56000000017</v>
      </c>
      <c r="G139" s="18"/>
      <c r="I139" s="135"/>
      <c r="J139" s="137"/>
    </row>
    <row r="140" spans="1:10" outlineLevel="2" x14ac:dyDescent="0.25">
      <c r="A140" s="38" t="s">
        <v>680</v>
      </c>
      <c r="B140" s="6" t="s">
        <v>681</v>
      </c>
      <c r="C140" s="20" t="s">
        <v>186</v>
      </c>
      <c r="D140" s="88">
        <v>335</v>
      </c>
      <c r="E140" s="49">
        <v>1500</v>
      </c>
      <c r="F140" s="13">
        <f t="shared" si="2"/>
        <v>502500</v>
      </c>
      <c r="G140" s="18"/>
      <c r="I140" s="135"/>
      <c r="J140" s="137"/>
    </row>
    <row r="141" spans="1:10" ht="26.4" outlineLevel="2" x14ac:dyDescent="0.25">
      <c r="A141" s="38" t="s">
        <v>682</v>
      </c>
      <c r="B141" s="6" t="s">
        <v>683</v>
      </c>
      <c r="C141" s="20" t="s">
        <v>672</v>
      </c>
      <c r="D141" s="88">
        <v>336.97361666666677</v>
      </c>
      <c r="E141" s="49">
        <f>4750/14.72</f>
        <v>322.69021739130432</v>
      </c>
      <c r="F141" s="13">
        <f t="shared" si="2"/>
        <v>108738.08961730075</v>
      </c>
      <c r="G141" s="18"/>
      <c r="I141" s="135"/>
      <c r="J141" s="137"/>
    </row>
    <row r="142" spans="1:10" outlineLevel="2" x14ac:dyDescent="0.25">
      <c r="A142" s="38" t="s">
        <v>684</v>
      </c>
      <c r="B142" s="6" t="s">
        <v>685</v>
      </c>
      <c r="C142" s="20" t="s">
        <v>672</v>
      </c>
      <c r="D142" s="88">
        <v>113</v>
      </c>
      <c r="E142" s="49">
        <v>190</v>
      </c>
      <c r="F142" s="13">
        <f t="shared" si="2"/>
        <v>21470</v>
      </c>
      <c r="G142" s="18"/>
      <c r="I142" s="135"/>
      <c r="J142" s="137"/>
    </row>
    <row r="143" spans="1:10" outlineLevel="2" x14ac:dyDescent="0.25">
      <c r="A143" s="38" t="s">
        <v>686</v>
      </c>
      <c r="B143" s="6" t="s">
        <v>687</v>
      </c>
      <c r="C143" s="20" t="s">
        <v>460</v>
      </c>
      <c r="D143" s="88">
        <v>644</v>
      </c>
      <c r="E143" s="49">
        <v>300</v>
      </c>
      <c r="F143" s="13">
        <f t="shared" si="2"/>
        <v>193200</v>
      </c>
      <c r="G143" s="18"/>
      <c r="I143" s="135"/>
      <c r="J143" s="137"/>
    </row>
    <row r="144" spans="1:10" outlineLevel="2" x14ac:dyDescent="0.25">
      <c r="A144" s="38" t="s">
        <v>688</v>
      </c>
      <c r="B144" s="6" t="s">
        <v>689</v>
      </c>
      <c r="C144" s="20" t="s">
        <v>223</v>
      </c>
      <c r="D144" s="88">
        <v>1.4</v>
      </c>
      <c r="E144" s="49">
        <v>780</v>
      </c>
      <c r="F144" s="13">
        <f t="shared" si="2"/>
        <v>1092</v>
      </c>
      <c r="G144" s="18"/>
      <c r="I144" s="135"/>
      <c r="J144" s="137"/>
    </row>
    <row r="145" spans="1:10" outlineLevel="2" x14ac:dyDescent="0.25">
      <c r="A145" s="38" t="s">
        <v>690</v>
      </c>
      <c r="B145" s="6" t="s">
        <v>691</v>
      </c>
      <c r="C145" s="20" t="s">
        <v>186</v>
      </c>
      <c r="D145" s="88">
        <v>52</v>
      </c>
      <c r="E145" s="49">
        <v>100</v>
      </c>
      <c r="F145" s="13">
        <f t="shared" si="2"/>
        <v>5200</v>
      </c>
      <c r="G145" s="18"/>
      <c r="I145" s="135"/>
      <c r="J145" s="137"/>
    </row>
    <row r="146" spans="1:10" outlineLevel="2" x14ac:dyDescent="0.25">
      <c r="A146" s="38" t="s">
        <v>692</v>
      </c>
      <c r="B146" s="6" t="s">
        <v>215</v>
      </c>
      <c r="C146" s="20" t="s">
        <v>223</v>
      </c>
      <c r="D146" s="88">
        <v>11.5</v>
      </c>
      <c r="E146" s="49">
        <v>15300</v>
      </c>
      <c r="F146" s="13">
        <f t="shared" si="2"/>
        <v>175950</v>
      </c>
      <c r="G146" s="18"/>
      <c r="I146" s="135"/>
      <c r="J146" s="137"/>
    </row>
    <row r="147" spans="1:10" ht="26.4" outlineLevel="2" x14ac:dyDescent="0.25">
      <c r="A147" s="38" t="s">
        <v>693</v>
      </c>
      <c r="B147" s="6" t="s">
        <v>218</v>
      </c>
      <c r="C147" s="20" t="s">
        <v>665</v>
      </c>
      <c r="D147" s="88">
        <v>0.9</v>
      </c>
      <c r="E147" s="49">
        <v>90000</v>
      </c>
      <c r="F147" s="13">
        <f t="shared" si="2"/>
        <v>81000</v>
      </c>
      <c r="G147" s="18"/>
      <c r="I147" s="135"/>
      <c r="J147" s="137"/>
    </row>
    <row r="148" spans="1:10" outlineLevel="2" x14ac:dyDescent="0.25">
      <c r="A148" s="38" t="s">
        <v>694</v>
      </c>
      <c r="B148" s="6" t="s">
        <v>221</v>
      </c>
      <c r="C148" s="20" t="s">
        <v>223</v>
      </c>
      <c r="D148" s="88">
        <v>2.6400000000000006</v>
      </c>
      <c r="E148" s="49">
        <v>3700</v>
      </c>
      <c r="F148" s="13">
        <f t="shared" si="2"/>
        <v>9768.0000000000018</v>
      </c>
      <c r="G148" s="18"/>
      <c r="I148" s="135"/>
      <c r="J148" s="137"/>
    </row>
    <row r="149" spans="1:10" outlineLevel="2" x14ac:dyDescent="0.25">
      <c r="A149" s="38" t="s">
        <v>695</v>
      </c>
      <c r="B149" s="6" t="s">
        <v>696</v>
      </c>
      <c r="C149" s="20" t="s">
        <v>186</v>
      </c>
      <c r="D149" s="88">
        <v>56.133000000000024</v>
      </c>
      <c r="E149" s="49">
        <f>1000*0.2</f>
        <v>200</v>
      </c>
      <c r="F149" s="13">
        <f t="shared" si="2"/>
        <v>11226.600000000004</v>
      </c>
      <c r="G149" s="18"/>
      <c r="I149" s="135"/>
      <c r="J149" s="137"/>
    </row>
    <row r="150" spans="1:10" outlineLevel="2" x14ac:dyDescent="0.25">
      <c r="A150" s="38" t="s">
        <v>697</v>
      </c>
      <c r="B150" s="6" t="s">
        <v>698</v>
      </c>
      <c r="C150" s="20" t="s">
        <v>532</v>
      </c>
      <c r="D150" s="88">
        <v>14.701500000000003</v>
      </c>
      <c r="E150" s="49">
        <f>545*0.2/3</f>
        <v>36.333333333333336</v>
      </c>
      <c r="F150" s="13">
        <f t="shared" si="2"/>
        <v>534.1545000000001</v>
      </c>
      <c r="G150" s="18"/>
      <c r="I150" s="135"/>
      <c r="J150" s="137"/>
    </row>
    <row r="151" spans="1:10" outlineLevel="2" x14ac:dyDescent="0.25">
      <c r="A151" s="38" t="s">
        <v>699</v>
      </c>
      <c r="B151" s="6" t="s">
        <v>700</v>
      </c>
      <c r="C151" s="20" t="s">
        <v>532</v>
      </c>
      <c r="D151" s="88">
        <v>26.730000000000008</v>
      </c>
      <c r="E151" s="49">
        <f>600*0.2/3</f>
        <v>40</v>
      </c>
      <c r="F151" s="13">
        <f t="shared" si="2"/>
        <v>1069.2000000000003</v>
      </c>
      <c r="G151" s="18"/>
      <c r="I151" s="135"/>
      <c r="J151" s="137"/>
    </row>
    <row r="152" spans="1:10" outlineLevel="2" x14ac:dyDescent="0.25">
      <c r="A152" s="38" t="s">
        <v>701</v>
      </c>
      <c r="B152" s="6" t="s">
        <v>702</v>
      </c>
      <c r="C152" s="20" t="s">
        <v>460</v>
      </c>
      <c r="D152" s="88">
        <v>227.20500000000004</v>
      </c>
      <c r="E152" s="49">
        <v>5</v>
      </c>
      <c r="F152" s="13">
        <f t="shared" si="2"/>
        <v>1136.0250000000001</v>
      </c>
      <c r="G152" s="18"/>
      <c r="I152" s="135"/>
      <c r="J152" s="137"/>
    </row>
    <row r="153" spans="1:10" ht="26.4" outlineLevel="2" x14ac:dyDescent="0.25">
      <c r="A153" s="38" t="s">
        <v>703</v>
      </c>
      <c r="B153" s="6" t="s">
        <v>704</v>
      </c>
      <c r="C153" s="20" t="s">
        <v>532</v>
      </c>
      <c r="D153" s="88">
        <v>6.0142500000000014</v>
      </c>
      <c r="E153" s="49">
        <f>5439*0.2/25</f>
        <v>43.512</v>
      </c>
      <c r="F153" s="13">
        <f t="shared" si="2"/>
        <v>261.69204600000006</v>
      </c>
      <c r="G153" s="18"/>
      <c r="I153" s="135"/>
      <c r="J153" s="137"/>
    </row>
    <row r="154" spans="1:10" outlineLevel="2" x14ac:dyDescent="0.25">
      <c r="A154" s="38" t="s">
        <v>705</v>
      </c>
      <c r="B154" s="6" t="s">
        <v>706</v>
      </c>
      <c r="C154" s="20" t="s">
        <v>532</v>
      </c>
      <c r="D154" s="88">
        <v>14.701500000000003</v>
      </c>
      <c r="E154" s="49">
        <v>10</v>
      </c>
      <c r="F154" s="13">
        <f t="shared" si="2"/>
        <v>147.01500000000004</v>
      </c>
      <c r="G154" s="18"/>
      <c r="I154" s="135"/>
      <c r="J154" s="137"/>
    </row>
    <row r="155" spans="1:10" outlineLevel="2" x14ac:dyDescent="0.25">
      <c r="A155" s="38" t="s">
        <v>707</v>
      </c>
      <c r="B155" s="6" t="s">
        <v>708</v>
      </c>
      <c r="C155" s="20" t="s">
        <v>460</v>
      </c>
      <c r="D155" s="88">
        <v>21.384000000000007</v>
      </c>
      <c r="E155" s="49">
        <v>5</v>
      </c>
      <c r="F155" s="13">
        <f t="shared" si="2"/>
        <v>106.92000000000004</v>
      </c>
      <c r="G155" s="18"/>
      <c r="I155" s="135"/>
      <c r="J155" s="137"/>
    </row>
    <row r="156" spans="1:10" outlineLevel="2" x14ac:dyDescent="0.25">
      <c r="A156" s="38" t="s">
        <v>709</v>
      </c>
      <c r="B156" s="6" t="s">
        <v>710</v>
      </c>
      <c r="C156" s="20" t="s">
        <v>532</v>
      </c>
      <c r="D156" s="88">
        <v>16.038000000000004</v>
      </c>
      <c r="E156" s="49">
        <v>45</v>
      </c>
      <c r="F156" s="13">
        <f t="shared" si="2"/>
        <v>721.71000000000015</v>
      </c>
      <c r="G156" s="18"/>
      <c r="I156" s="135"/>
      <c r="J156" s="137"/>
    </row>
    <row r="157" spans="1:10" outlineLevel="2" x14ac:dyDescent="0.25">
      <c r="A157" s="38" t="s">
        <v>711</v>
      </c>
      <c r="B157" s="6" t="s">
        <v>712</v>
      </c>
      <c r="C157" s="20" t="s">
        <v>713</v>
      </c>
      <c r="D157" s="88">
        <v>1.3365000000000005</v>
      </c>
      <c r="E157" s="49">
        <f>3053.6*0.2*2/1.3</f>
        <v>939.56923076923078</v>
      </c>
      <c r="F157" s="13">
        <f t="shared" si="2"/>
        <v>1255.7342769230775</v>
      </c>
      <c r="G157" s="18"/>
      <c r="I157" s="135"/>
      <c r="J157" s="137"/>
    </row>
    <row r="158" spans="1:10" outlineLevel="2" x14ac:dyDescent="0.25">
      <c r="A158" s="38" t="s">
        <v>714</v>
      </c>
      <c r="B158" s="6" t="s">
        <v>715</v>
      </c>
      <c r="C158" s="20" t="s">
        <v>186</v>
      </c>
      <c r="D158" s="88">
        <v>8.9100000000000019</v>
      </c>
      <c r="E158" s="49">
        <f>6160.7*0.2/4.8</f>
        <v>256.69583333333338</v>
      </c>
      <c r="F158" s="13">
        <f t="shared" si="2"/>
        <v>2287.1598750000007</v>
      </c>
      <c r="G158" s="18"/>
      <c r="I158" s="135"/>
      <c r="J158" s="137"/>
    </row>
    <row r="159" spans="1:10" outlineLevel="2" x14ac:dyDescent="0.25">
      <c r="A159" s="38" t="s">
        <v>716</v>
      </c>
      <c r="B159" s="6" t="s">
        <v>717</v>
      </c>
      <c r="C159" s="20" t="s">
        <v>672</v>
      </c>
      <c r="D159" s="88">
        <v>6.38</v>
      </c>
      <c r="E159" s="49">
        <v>40</v>
      </c>
      <c r="F159" s="13">
        <f t="shared" si="2"/>
        <v>255.2</v>
      </c>
      <c r="G159" s="18" t="s">
        <v>718</v>
      </c>
      <c r="I159" s="135"/>
      <c r="J159" s="137"/>
    </row>
    <row r="160" spans="1:10" ht="28.2" customHeight="1" outlineLevel="2" x14ac:dyDescent="0.25">
      <c r="A160" s="38" t="s">
        <v>719</v>
      </c>
      <c r="B160" s="6" t="s">
        <v>720</v>
      </c>
      <c r="C160" s="20" t="s">
        <v>672</v>
      </c>
      <c r="D160" s="88">
        <v>1087.9160400000001</v>
      </c>
      <c r="E160" s="49">
        <v>35</v>
      </c>
      <c r="F160" s="13">
        <f t="shared" si="2"/>
        <v>38077.061400000006</v>
      </c>
      <c r="G160" s="18" t="s">
        <v>721</v>
      </c>
      <c r="I160" s="135"/>
      <c r="J160" s="137"/>
    </row>
    <row r="161" spans="1:10" ht="28.95" customHeight="1" outlineLevel="2" x14ac:dyDescent="0.25">
      <c r="A161" s="38" t="s">
        <v>722</v>
      </c>
      <c r="B161" s="6" t="s">
        <v>720</v>
      </c>
      <c r="C161" s="20" t="s">
        <v>672</v>
      </c>
      <c r="D161" s="88">
        <v>250.75297500000002</v>
      </c>
      <c r="E161" s="49">
        <f>E160</f>
        <v>35</v>
      </c>
      <c r="F161" s="13">
        <f t="shared" si="2"/>
        <v>8776.3541249999998</v>
      </c>
      <c r="G161" s="18" t="s">
        <v>723</v>
      </c>
      <c r="I161" s="135"/>
      <c r="J161" s="137"/>
    </row>
    <row r="162" spans="1:10" outlineLevel="2" x14ac:dyDescent="0.25">
      <c r="A162" s="38" t="s">
        <v>724</v>
      </c>
      <c r="B162" s="6" t="s">
        <v>725</v>
      </c>
      <c r="C162" s="20" t="s">
        <v>186</v>
      </c>
      <c r="D162" s="88">
        <v>618</v>
      </c>
      <c r="E162" s="49">
        <v>1200</v>
      </c>
      <c r="F162" s="13">
        <f t="shared" si="2"/>
        <v>741600</v>
      </c>
      <c r="G162" s="18"/>
      <c r="I162" s="135"/>
      <c r="J162" s="137"/>
    </row>
    <row r="163" spans="1:10" outlineLevel="2" x14ac:dyDescent="0.25">
      <c r="A163" s="38" t="s">
        <v>726</v>
      </c>
      <c r="B163" s="6" t="s">
        <v>232</v>
      </c>
      <c r="C163" s="20" t="s">
        <v>532</v>
      </c>
      <c r="D163" s="88">
        <v>1271.0082</v>
      </c>
      <c r="E163" s="49">
        <v>150</v>
      </c>
      <c r="F163" s="13">
        <f t="shared" si="2"/>
        <v>190651.23</v>
      </c>
      <c r="G163" s="18"/>
      <c r="I163" s="135"/>
      <c r="J163" s="137"/>
    </row>
    <row r="164" spans="1:10" outlineLevel="2" x14ac:dyDescent="0.25">
      <c r="A164" s="38" t="s">
        <v>727</v>
      </c>
      <c r="B164" s="6" t="s">
        <v>235</v>
      </c>
      <c r="C164" s="20" t="s">
        <v>532</v>
      </c>
      <c r="D164" s="88">
        <v>251.46660000000003</v>
      </c>
      <c r="E164" s="49">
        <v>700</v>
      </c>
      <c r="F164" s="13">
        <f t="shared" si="2"/>
        <v>176026.62000000002</v>
      </c>
      <c r="G164" s="18"/>
      <c r="I164" s="135"/>
      <c r="J164" s="137"/>
    </row>
    <row r="165" spans="1:10" outlineLevel="2" x14ac:dyDescent="0.25">
      <c r="A165" s="38" t="s">
        <v>728</v>
      </c>
      <c r="B165" s="6" t="s">
        <v>729</v>
      </c>
      <c r="C165" s="20" t="s">
        <v>532</v>
      </c>
      <c r="D165" s="88">
        <v>875.00160000000005</v>
      </c>
      <c r="E165" s="49">
        <v>520</v>
      </c>
      <c r="F165" s="13">
        <f t="shared" si="2"/>
        <v>455000.83200000005</v>
      </c>
      <c r="G165" s="18"/>
      <c r="I165" s="135"/>
      <c r="J165" s="137"/>
    </row>
    <row r="166" spans="1:10" outlineLevel="2" x14ac:dyDescent="0.25">
      <c r="A166" s="38" t="s">
        <v>730</v>
      </c>
      <c r="B166" s="6" t="s">
        <v>731</v>
      </c>
      <c r="C166" s="20" t="s">
        <v>186</v>
      </c>
      <c r="D166" s="88">
        <v>767.6099999999999</v>
      </c>
      <c r="E166" s="49">
        <v>350</v>
      </c>
      <c r="F166" s="13">
        <f t="shared" si="2"/>
        <v>268663.49999999994</v>
      </c>
      <c r="G166" s="18"/>
      <c r="I166" s="135"/>
      <c r="J166" s="137"/>
    </row>
    <row r="167" spans="1:10" ht="42.6" customHeight="1" outlineLevel="2" x14ac:dyDescent="0.25">
      <c r="A167" s="38" t="s">
        <v>732</v>
      </c>
      <c r="B167" s="6" t="s">
        <v>733</v>
      </c>
      <c r="C167" s="20" t="s">
        <v>460</v>
      </c>
      <c r="D167" s="88">
        <v>17</v>
      </c>
      <c r="E167" s="89">
        <v>38100</v>
      </c>
      <c r="F167" s="13">
        <f t="shared" si="2"/>
        <v>647700</v>
      </c>
      <c r="G167" s="90" t="s">
        <v>734</v>
      </c>
      <c r="H167" s="146" t="s">
        <v>735</v>
      </c>
      <c r="I167" s="143" t="s">
        <v>736</v>
      </c>
      <c r="J167" s="141"/>
    </row>
    <row r="168" spans="1:10" ht="41.4" customHeight="1" outlineLevel="2" x14ac:dyDescent="0.25">
      <c r="A168" s="38" t="s">
        <v>737</v>
      </c>
      <c r="B168" s="6" t="s">
        <v>738</v>
      </c>
      <c r="C168" s="20" t="s">
        <v>460</v>
      </c>
      <c r="D168" s="88">
        <v>22</v>
      </c>
      <c r="E168" s="89">
        <v>20300</v>
      </c>
      <c r="F168" s="13">
        <f t="shared" si="2"/>
        <v>446600</v>
      </c>
      <c r="G168" s="18" t="s">
        <v>734</v>
      </c>
      <c r="H168" s="146" t="s">
        <v>735</v>
      </c>
      <c r="I168" s="143" t="s">
        <v>736</v>
      </c>
      <c r="J168" s="141"/>
    </row>
    <row r="169" spans="1:10" ht="41.4" customHeight="1" outlineLevel="2" x14ac:dyDescent="0.25">
      <c r="A169" s="38" t="s">
        <v>739</v>
      </c>
      <c r="B169" s="6" t="s">
        <v>740</v>
      </c>
      <c r="C169" s="20" t="s">
        <v>460</v>
      </c>
      <c r="D169" s="88">
        <v>2</v>
      </c>
      <c r="E169" s="89">
        <v>15800</v>
      </c>
      <c r="F169" s="13">
        <f t="shared" si="2"/>
        <v>31600</v>
      </c>
      <c r="G169" s="18" t="s">
        <v>734</v>
      </c>
      <c r="H169" s="146" t="s">
        <v>735</v>
      </c>
      <c r="I169" s="143" t="s">
        <v>736</v>
      </c>
      <c r="J169" s="141"/>
    </row>
    <row r="170" spans="1:10" ht="26.4" outlineLevel="2" x14ac:dyDescent="0.25">
      <c r="A170" s="38" t="s">
        <v>741</v>
      </c>
      <c r="B170" s="6" t="s">
        <v>742</v>
      </c>
      <c r="C170" s="20" t="s">
        <v>460</v>
      </c>
      <c r="D170" s="88">
        <v>3</v>
      </c>
      <c r="E170" s="89">
        <v>13000</v>
      </c>
      <c r="F170" s="13">
        <f t="shared" si="2"/>
        <v>39000</v>
      </c>
      <c r="G170" s="18"/>
      <c r="H170" s="146" t="s">
        <v>735</v>
      </c>
      <c r="I170" s="143" t="s">
        <v>736</v>
      </c>
      <c r="J170" s="141"/>
    </row>
    <row r="171" spans="1:10" ht="26.4" hidden="1" outlineLevel="2" x14ac:dyDescent="0.25">
      <c r="A171" s="38" t="s">
        <v>743</v>
      </c>
      <c r="B171" s="6" t="s">
        <v>744</v>
      </c>
      <c r="C171" s="20" t="s">
        <v>532</v>
      </c>
      <c r="D171" s="88">
        <v>49</v>
      </c>
      <c r="E171" s="89">
        <v>890</v>
      </c>
      <c r="F171" s="13">
        <f t="shared" si="2"/>
        <v>43610</v>
      </c>
      <c r="G171" s="18" t="s">
        <v>745</v>
      </c>
      <c r="I171" s="137"/>
      <c r="J171" s="137"/>
    </row>
    <row r="172" spans="1:10" hidden="1" outlineLevel="2" x14ac:dyDescent="0.25">
      <c r="A172" s="38" t="s">
        <v>746</v>
      </c>
      <c r="B172" s="6" t="s">
        <v>244</v>
      </c>
      <c r="C172" s="20" t="s">
        <v>460</v>
      </c>
      <c r="D172" s="88">
        <v>98</v>
      </c>
      <c r="E172" s="89">
        <v>100</v>
      </c>
      <c r="F172" s="13">
        <f t="shared" si="2"/>
        <v>9800</v>
      </c>
      <c r="G172" s="18"/>
      <c r="I172" s="137"/>
      <c r="J172" s="137"/>
    </row>
    <row r="173" spans="1:10" ht="26.4" hidden="1" outlineLevel="2" x14ac:dyDescent="0.25">
      <c r="A173" s="38" t="s">
        <v>747</v>
      </c>
      <c r="B173" s="6" t="s">
        <v>748</v>
      </c>
      <c r="C173" s="20" t="s">
        <v>532</v>
      </c>
      <c r="D173" s="88">
        <v>50</v>
      </c>
      <c r="E173" s="89">
        <v>1000</v>
      </c>
      <c r="F173" s="13">
        <f t="shared" si="2"/>
        <v>50000</v>
      </c>
      <c r="G173" s="18" t="s">
        <v>745</v>
      </c>
      <c r="I173" s="137"/>
      <c r="J173" s="137"/>
    </row>
    <row r="174" spans="1:10" ht="42.6" customHeight="1" outlineLevel="2" x14ac:dyDescent="0.25">
      <c r="A174" s="38" t="s">
        <v>749</v>
      </c>
      <c r="B174" s="6" t="s">
        <v>750</v>
      </c>
      <c r="C174" s="20" t="s">
        <v>460</v>
      </c>
      <c r="D174" s="88">
        <v>4</v>
      </c>
      <c r="E174" s="89">
        <v>53850</v>
      </c>
      <c r="F174" s="13">
        <f t="shared" si="2"/>
        <v>215400</v>
      </c>
      <c r="G174" s="18" t="s">
        <v>751</v>
      </c>
      <c r="H174" s="132" t="s">
        <v>752</v>
      </c>
      <c r="I174" s="143" t="s">
        <v>753</v>
      </c>
      <c r="J174" s="141"/>
    </row>
    <row r="175" spans="1:10" ht="26.4" hidden="1" outlineLevel="2" x14ac:dyDescent="0.25">
      <c r="A175" s="38" t="s">
        <v>754</v>
      </c>
      <c r="B175" s="6" t="s">
        <v>755</v>
      </c>
      <c r="C175" s="20" t="s">
        <v>460</v>
      </c>
      <c r="D175" s="88">
        <v>39</v>
      </c>
      <c r="E175" s="89">
        <v>20000</v>
      </c>
      <c r="F175" s="13">
        <f t="shared" si="2"/>
        <v>780000</v>
      </c>
      <c r="G175" s="18" t="s">
        <v>751</v>
      </c>
      <c r="I175" s="137"/>
      <c r="J175" s="137"/>
    </row>
    <row r="176" spans="1:10" ht="26.4" hidden="1" outlineLevel="2" x14ac:dyDescent="0.25">
      <c r="A176" s="38" t="s">
        <v>756</v>
      </c>
      <c r="B176" s="6" t="s">
        <v>757</v>
      </c>
      <c r="C176" s="20" t="s">
        <v>460</v>
      </c>
      <c r="D176" s="88">
        <v>31</v>
      </c>
      <c r="E176" s="89">
        <f>E175</f>
        <v>20000</v>
      </c>
      <c r="F176" s="13">
        <f t="shared" si="2"/>
        <v>620000</v>
      </c>
      <c r="G176" s="18" t="s">
        <v>751</v>
      </c>
      <c r="I176" s="137"/>
      <c r="J176" s="137"/>
    </row>
    <row r="177" spans="1:10" ht="39.6" outlineLevel="2" x14ac:dyDescent="0.25">
      <c r="A177" s="38" t="s">
        <v>758</v>
      </c>
      <c r="B177" s="6" t="s">
        <v>759</v>
      </c>
      <c r="C177" s="20" t="s">
        <v>460</v>
      </c>
      <c r="D177" s="88">
        <v>1</v>
      </c>
      <c r="E177" s="89">
        <v>35500</v>
      </c>
      <c r="F177" s="13">
        <f t="shared" si="2"/>
        <v>35500</v>
      </c>
      <c r="G177" s="18" t="s">
        <v>751</v>
      </c>
      <c r="H177" s="132" t="s">
        <v>752</v>
      </c>
      <c r="I177" s="143" t="s">
        <v>753</v>
      </c>
      <c r="J177" s="141"/>
    </row>
    <row r="178" spans="1:10" ht="26.4" outlineLevel="2" x14ac:dyDescent="0.25">
      <c r="A178" s="38" t="s">
        <v>760</v>
      </c>
      <c r="B178" s="6" t="s">
        <v>761</v>
      </c>
      <c r="C178" s="20" t="s">
        <v>460</v>
      </c>
      <c r="D178" s="88">
        <v>31</v>
      </c>
      <c r="E178" s="91">
        <v>30000</v>
      </c>
      <c r="F178" s="13">
        <f t="shared" si="2"/>
        <v>930000</v>
      </c>
      <c r="G178" s="18" t="s">
        <v>751</v>
      </c>
      <c r="H178" s="132" t="s">
        <v>752</v>
      </c>
      <c r="I178" s="143" t="s">
        <v>753</v>
      </c>
      <c r="J178" s="141"/>
    </row>
    <row r="179" spans="1:10" outlineLevel="2" x14ac:dyDescent="0.25">
      <c r="A179" s="38" t="s">
        <v>762</v>
      </c>
      <c r="B179" s="6" t="s">
        <v>763</v>
      </c>
      <c r="C179" s="20" t="s">
        <v>460</v>
      </c>
      <c r="D179" s="88">
        <f>SUM(D174:D178)</f>
        <v>106</v>
      </c>
      <c r="E179" s="83">
        <f>E176</f>
        <v>20000</v>
      </c>
      <c r="F179" s="13">
        <f t="shared" si="2"/>
        <v>2120000</v>
      </c>
      <c r="G179" s="92"/>
      <c r="I179" s="135"/>
    </row>
    <row r="180" spans="1:10" outlineLevel="2" x14ac:dyDescent="0.25">
      <c r="A180" s="38" t="s">
        <v>764</v>
      </c>
      <c r="B180" s="6" t="s">
        <v>765</v>
      </c>
      <c r="C180" s="20" t="s">
        <v>532</v>
      </c>
      <c r="D180" s="88">
        <v>462.8</v>
      </c>
      <c r="E180" s="91">
        <v>780</v>
      </c>
      <c r="F180" s="13">
        <f t="shared" si="2"/>
        <v>360984</v>
      </c>
      <c r="G180" s="93"/>
      <c r="I180" s="135"/>
    </row>
    <row r="181" spans="1:10" outlineLevel="2" x14ac:dyDescent="0.25">
      <c r="A181" s="38" t="s">
        <v>766</v>
      </c>
      <c r="B181" s="6" t="s">
        <v>767</v>
      </c>
      <c r="C181" s="20" t="s">
        <v>582</v>
      </c>
      <c r="D181" s="88">
        <v>106</v>
      </c>
      <c r="E181" s="91">
        <v>1500</v>
      </c>
      <c r="F181" s="13">
        <f t="shared" si="2"/>
        <v>159000</v>
      </c>
      <c r="G181" s="93"/>
      <c r="I181" s="135"/>
    </row>
    <row r="182" spans="1:10" outlineLevel="2" x14ac:dyDescent="0.25">
      <c r="A182" s="38" t="s">
        <v>768</v>
      </c>
      <c r="B182" s="6" t="s">
        <v>250</v>
      </c>
      <c r="C182" s="20" t="s">
        <v>460</v>
      </c>
      <c r="D182" s="88">
        <v>106</v>
      </c>
      <c r="E182" s="91">
        <v>5000</v>
      </c>
      <c r="F182" s="13">
        <f t="shared" si="2"/>
        <v>530000</v>
      </c>
      <c r="G182" s="93"/>
      <c r="I182" s="135"/>
    </row>
    <row r="183" spans="1:10" outlineLevel="2" x14ac:dyDescent="0.25">
      <c r="A183" s="38" t="s">
        <v>769</v>
      </c>
      <c r="B183" s="6" t="s">
        <v>253</v>
      </c>
      <c r="C183" s="20" t="s">
        <v>460</v>
      </c>
      <c r="D183" s="88">
        <v>585</v>
      </c>
      <c r="E183" s="91">
        <v>500</v>
      </c>
      <c r="F183" s="13">
        <f t="shared" si="2"/>
        <v>292500</v>
      </c>
      <c r="G183" s="93"/>
      <c r="I183" s="135"/>
    </row>
    <row r="184" spans="1:10" outlineLevel="2" x14ac:dyDescent="0.25">
      <c r="A184" s="38" t="s">
        <v>770</v>
      </c>
      <c r="B184" s="6" t="s">
        <v>259</v>
      </c>
      <c r="C184" s="20" t="s">
        <v>771</v>
      </c>
      <c r="D184" s="88">
        <v>1</v>
      </c>
      <c r="E184" s="91">
        <v>10000</v>
      </c>
      <c r="F184" s="13">
        <f t="shared" si="2"/>
        <v>10000</v>
      </c>
      <c r="G184" s="93"/>
      <c r="I184" s="135"/>
    </row>
    <row r="185" spans="1:10" ht="26.4" outlineLevel="2" x14ac:dyDescent="0.25">
      <c r="A185" s="38" t="s">
        <v>772</v>
      </c>
      <c r="B185" s="6" t="s">
        <v>773</v>
      </c>
      <c r="C185" s="20" t="s">
        <v>186</v>
      </c>
      <c r="D185" s="88">
        <v>74.099999999999994</v>
      </c>
      <c r="E185" s="91">
        <v>18690</v>
      </c>
      <c r="F185" s="13">
        <f t="shared" si="2"/>
        <v>1384929</v>
      </c>
      <c r="G185" s="93"/>
      <c r="I185" s="135"/>
    </row>
    <row r="186" spans="1:10" ht="26.4" outlineLevel="2" x14ac:dyDescent="0.25">
      <c r="A186" s="38" t="s">
        <v>774</v>
      </c>
      <c r="B186" s="6" t="s">
        <v>775</v>
      </c>
      <c r="C186" s="20" t="s">
        <v>460</v>
      </c>
      <c r="D186" s="88">
        <v>24</v>
      </c>
      <c r="E186" s="91">
        <f>E177</f>
        <v>35500</v>
      </c>
      <c r="F186" s="13">
        <f t="shared" si="2"/>
        <v>852000</v>
      </c>
      <c r="G186" s="93"/>
      <c r="I186" s="135"/>
    </row>
    <row r="187" spans="1:10" ht="26.4" outlineLevel="2" x14ac:dyDescent="0.25">
      <c r="A187" s="38" t="s">
        <v>776</v>
      </c>
      <c r="B187" s="6" t="s">
        <v>777</v>
      </c>
      <c r="C187" s="20" t="s">
        <v>186</v>
      </c>
      <c r="D187" s="88">
        <v>12.7</v>
      </c>
      <c r="E187" s="91">
        <f>E185</f>
        <v>18690</v>
      </c>
      <c r="F187" s="13">
        <f t="shared" si="2"/>
        <v>237363</v>
      </c>
      <c r="G187" s="18" t="s">
        <v>778</v>
      </c>
      <c r="I187" s="135"/>
    </row>
    <row r="188" spans="1:10" ht="26.4" outlineLevel="2" x14ac:dyDescent="0.25">
      <c r="A188" s="38" t="s">
        <v>779</v>
      </c>
      <c r="B188" s="6" t="s">
        <v>780</v>
      </c>
      <c r="C188" s="20" t="s">
        <v>186</v>
      </c>
      <c r="D188" s="88">
        <v>3.8</v>
      </c>
      <c r="E188" s="89">
        <v>2000</v>
      </c>
      <c r="F188" s="13">
        <f t="shared" si="2"/>
        <v>7600</v>
      </c>
      <c r="G188" s="18" t="s">
        <v>778</v>
      </c>
      <c r="I188" s="135"/>
    </row>
    <row r="189" spans="1:10" outlineLevel="2" x14ac:dyDescent="0.25">
      <c r="A189" s="38" t="s">
        <v>781</v>
      </c>
      <c r="B189" s="6" t="s">
        <v>782</v>
      </c>
      <c r="C189" s="20" t="s">
        <v>186</v>
      </c>
      <c r="D189" s="88">
        <v>5.4</v>
      </c>
      <c r="E189" s="91">
        <v>1500</v>
      </c>
      <c r="F189" s="13">
        <f t="shared" si="2"/>
        <v>8100.0000000000009</v>
      </c>
      <c r="G189" s="93"/>
      <c r="I189" s="135"/>
    </row>
    <row r="190" spans="1:10" outlineLevel="2" x14ac:dyDescent="0.25">
      <c r="A190" s="38" t="s">
        <v>783</v>
      </c>
      <c r="B190" s="6" t="s">
        <v>784</v>
      </c>
      <c r="C190" s="20" t="s">
        <v>457</v>
      </c>
      <c r="D190" s="88">
        <v>43.2</v>
      </c>
      <c r="E190" s="83">
        <v>1000</v>
      </c>
      <c r="F190" s="13">
        <f t="shared" si="2"/>
        <v>43200</v>
      </c>
      <c r="G190" s="92"/>
      <c r="I190" s="135"/>
    </row>
    <row r="191" spans="1:10" x14ac:dyDescent="0.25">
      <c r="A191" s="94"/>
      <c r="B191" s="17" t="s">
        <v>570</v>
      </c>
      <c r="C191" s="95"/>
      <c r="D191" s="96"/>
      <c r="E191" s="86"/>
      <c r="F191" s="87">
        <f>SUM(F192:F219)</f>
        <v>1414367.5</v>
      </c>
      <c r="G191" s="85"/>
      <c r="I191" s="135"/>
    </row>
    <row r="192" spans="1:10" outlineLevel="1" x14ac:dyDescent="0.25">
      <c r="A192" s="38" t="s">
        <v>785</v>
      </c>
      <c r="B192" s="6" t="s">
        <v>786</v>
      </c>
      <c r="C192" s="20" t="s">
        <v>460</v>
      </c>
      <c r="D192" s="88">
        <v>24</v>
      </c>
      <c r="E192" s="89">
        <v>13000</v>
      </c>
      <c r="F192" s="13">
        <f t="shared" si="2"/>
        <v>312000</v>
      </c>
      <c r="G192" s="18"/>
      <c r="I192" s="135"/>
    </row>
    <row r="193" spans="1:9" outlineLevel="1" x14ac:dyDescent="0.25">
      <c r="A193" s="38" t="s">
        <v>787</v>
      </c>
      <c r="B193" s="6" t="s">
        <v>788</v>
      </c>
      <c r="C193" s="20" t="s">
        <v>532</v>
      </c>
      <c r="D193" s="88">
        <v>150</v>
      </c>
      <c r="E193" s="89">
        <v>150</v>
      </c>
      <c r="F193" s="13">
        <f t="shared" ref="F193:F238" si="3">D193*E193</f>
        <v>22500</v>
      </c>
      <c r="G193" s="18"/>
      <c r="I193" s="135"/>
    </row>
    <row r="194" spans="1:9" outlineLevel="1" x14ac:dyDescent="0.25">
      <c r="A194" s="38" t="s">
        <v>789</v>
      </c>
      <c r="B194" s="6" t="s">
        <v>790</v>
      </c>
      <c r="C194" s="20" t="s">
        <v>460</v>
      </c>
      <c r="D194" s="88">
        <v>15</v>
      </c>
      <c r="E194" s="89">
        <v>12000</v>
      </c>
      <c r="F194" s="13">
        <f t="shared" si="3"/>
        <v>180000</v>
      </c>
      <c r="G194" s="18"/>
      <c r="I194" s="135"/>
    </row>
    <row r="195" spans="1:9" outlineLevel="1" x14ac:dyDescent="0.25">
      <c r="A195" s="38" t="s">
        <v>791</v>
      </c>
      <c r="B195" s="6" t="s">
        <v>792</v>
      </c>
      <c r="C195" s="20" t="s">
        <v>460</v>
      </c>
      <c r="D195" s="88">
        <v>15</v>
      </c>
      <c r="E195" s="89">
        <v>1200</v>
      </c>
      <c r="F195" s="13">
        <f t="shared" si="3"/>
        <v>18000</v>
      </c>
      <c r="G195" s="18"/>
      <c r="I195" s="135"/>
    </row>
    <row r="196" spans="1:9" outlineLevel="1" x14ac:dyDescent="0.25">
      <c r="A196" s="38" t="s">
        <v>793</v>
      </c>
      <c r="B196" s="6" t="s">
        <v>794</v>
      </c>
      <c r="C196" s="20" t="s">
        <v>460</v>
      </c>
      <c r="D196" s="88">
        <v>15</v>
      </c>
      <c r="E196" s="89">
        <v>6500</v>
      </c>
      <c r="F196" s="13">
        <f t="shared" si="3"/>
        <v>97500</v>
      </c>
      <c r="G196" s="18"/>
      <c r="I196" s="135"/>
    </row>
    <row r="197" spans="1:9" outlineLevel="1" x14ac:dyDescent="0.25">
      <c r="A197" s="38" t="s">
        <v>795</v>
      </c>
      <c r="B197" s="6" t="s">
        <v>796</v>
      </c>
      <c r="C197" s="20" t="s">
        <v>460</v>
      </c>
      <c r="D197" s="88">
        <v>5</v>
      </c>
      <c r="E197" s="89">
        <v>23000</v>
      </c>
      <c r="F197" s="13">
        <f t="shared" si="3"/>
        <v>115000</v>
      </c>
      <c r="G197" s="18"/>
      <c r="I197" s="135"/>
    </row>
    <row r="198" spans="1:9" ht="12.6" customHeight="1" outlineLevel="1" x14ac:dyDescent="0.25">
      <c r="A198" s="38" t="s">
        <v>797</v>
      </c>
      <c r="B198" s="6" t="s">
        <v>798</v>
      </c>
      <c r="C198" s="20" t="s">
        <v>460</v>
      </c>
      <c r="D198" s="88">
        <v>24</v>
      </c>
      <c r="E198" s="89">
        <v>14000</v>
      </c>
      <c r="F198" s="13">
        <f t="shared" si="3"/>
        <v>336000</v>
      </c>
      <c r="G198" s="18" t="s">
        <v>799</v>
      </c>
      <c r="I198" s="135"/>
    </row>
    <row r="199" spans="1:9" ht="15" customHeight="1" outlineLevel="1" x14ac:dyDescent="0.25">
      <c r="A199" s="38" t="s">
        <v>800</v>
      </c>
      <c r="B199" s="6" t="s">
        <v>801</v>
      </c>
      <c r="C199" s="20" t="s">
        <v>460</v>
      </c>
      <c r="D199" s="88">
        <v>24</v>
      </c>
      <c r="E199" s="89">
        <v>2500</v>
      </c>
      <c r="F199" s="13">
        <f t="shared" si="3"/>
        <v>60000</v>
      </c>
      <c r="G199" s="18" t="s">
        <v>799</v>
      </c>
      <c r="I199" s="135"/>
    </row>
    <row r="200" spans="1:9" outlineLevel="1" x14ac:dyDescent="0.25">
      <c r="A200" s="38" t="s">
        <v>802</v>
      </c>
      <c r="B200" s="6" t="s">
        <v>803</v>
      </c>
      <c r="C200" s="20" t="s">
        <v>532</v>
      </c>
      <c r="D200" s="88">
        <v>80</v>
      </c>
      <c r="E200" s="89">
        <v>100</v>
      </c>
      <c r="F200" s="13">
        <f t="shared" si="3"/>
        <v>8000</v>
      </c>
      <c r="G200" s="18"/>
      <c r="I200" s="135"/>
    </row>
    <row r="201" spans="1:9" outlineLevel="1" x14ac:dyDescent="0.25">
      <c r="A201" s="38" t="s">
        <v>804</v>
      </c>
      <c r="B201" s="6" t="s">
        <v>805</v>
      </c>
      <c r="C201" s="20" t="s">
        <v>460</v>
      </c>
      <c r="D201" s="88">
        <v>48</v>
      </c>
      <c r="E201" s="89">
        <v>30</v>
      </c>
      <c r="F201" s="13">
        <f t="shared" si="3"/>
        <v>1440</v>
      </c>
      <c r="G201" s="18"/>
      <c r="I201" s="135"/>
    </row>
    <row r="202" spans="1:9" ht="24" outlineLevel="1" x14ac:dyDescent="0.25">
      <c r="A202" s="38" t="s">
        <v>806</v>
      </c>
      <c r="B202" s="6" t="s">
        <v>807</v>
      </c>
      <c r="C202" s="20" t="s">
        <v>532</v>
      </c>
      <c r="D202" s="88">
        <v>400</v>
      </c>
      <c r="E202" s="89">
        <v>120</v>
      </c>
      <c r="F202" s="13">
        <f t="shared" si="3"/>
        <v>48000</v>
      </c>
      <c r="G202" s="97" t="s">
        <v>808</v>
      </c>
      <c r="I202" s="135"/>
    </row>
    <row r="203" spans="1:9" ht="24" outlineLevel="1" x14ac:dyDescent="0.25">
      <c r="A203" s="38" t="s">
        <v>809</v>
      </c>
      <c r="B203" s="6" t="s">
        <v>810</v>
      </c>
      <c r="C203" s="20" t="s">
        <v>532</v>
      </c>
      <c r="D203" s="88">
        <v>200</v>
      </c>
      <c r="E203" s="89">
        <v>100</v>
      </c>
      <c r="F203" s="13">
        <f t="shared" si="3"/>
        <v>20000</v>
      </c>
      <c r="G203" s="97" t="s">
        <v>808</v>
      </c>
      <c r="I203" s="135"/>
    </row>
    <row r="204" spans="1:9" ht="24" outlineLevel="1" x14ac:dyDescent="0.25">
      <c r="A204" s="38" t="s">
        <v>811</v>
      </c>
      <c r="B204" s="6" t="s">
        <v>812</v>
      </c>
      <c r="C204" s="20" t="s">
        <v>460</v>
      </c>
      <c r="D204" s="88">
        <v>800</v>
      </c>
      <c r="E204" s="89">
        <v>3</v>
      </c>
      <c r="F204" s="13">
        <f t="shared" si="3"/>
        <v>2400</v>
      </c>
      <c r="G204" s="97" t="s">
        <v>808</v>
      </c>
      <c r="I204" s="135"/>
    </row>
    <row r="205" spans="1:9" outlineLevel="1" x14ac:dyDescent="0.25">
      <c r="A205" s="38" t="s">
        <v>813</v>
      </c>
      <c r="B205" s="6" t="s">
        <v>814</v>
      </c>
      <c r="C205" s="20" t="s">
        <v>460</v>
      </c>
      <c r="D205" s="88">
        <v>400</v>
      </c>
      <c r="E205" s="89">
        <v>3</v>
      </c>
      <c r="F205" s="13">
        <f t="shared" si="3"/>
        <v>1200</v>
      </c>
      <c r="G205" s="97" t="s">
        <v>815</v>
      </c>
      <c r="I205" s="135"/>
    </row>
    <row r="206" spans="1:9" outlineLevel="1" x14ac:dyDescent="0.25">
      <c r="A206" s="38" t="s">
        <v>816</v>
      </c>
      <c r="B206" s="6" t="s">
        <v>817</v>
      </c>
      <c r="C206" s="20" t="s">
        <v>460</v>
      </c>
      <c r="D206" s="88">
        <v>102</v>
      </c>
      <c r="E206" s="89">
        <v>300</v>
      </c>
      <c r="F206" s="13">
        <f t="shared" si="3"/>
        <v>30600</v>
      </c>
      <c r="G206" s="18"/>
      <c r="I206" s="135"/>
    </row>
    <row r="207" spans="1:9" outlineLevel="1" x14ac:dyDescent="0.25">
      <c r="A207" s="38" t="s">
        <v>818</v>
      </c>
      <c r="B207" s="124" t="s">
        <v>819</v>
      </c>
      <c r="C207" s="125" t="s">
        <v>290</v>
      </c>
      <c r="D207" s="126">
        <v>22</v>
      </c>
      <c r="E207" s="98">
        <v>115</v>
      </c>
      <c r="F207" s="98">
        <f>E207*D207</f>
        <v>2530</v>
      </c>
      <c r="G207" s="18"/>
      <c r="I207" s="135"/>
    </row>
    <row r="208" spans="1:9" outlineLevel="1" x14ac:dyDescent="0.25">
      <c r="A208" s="38" t="s">
        <v>820</v>
      </c>
      <c r="B208" s="124" t="s">
        <v>821</v>
      </c>
      <c r="C208" s="125" t="s">
        <v>290</v>
      </c>
      <c r="D208" s="126">
        <v>22</v>
      </c>
      <c r="E208" s="98">
        <v>185</v>
      </c>
      <c r="F208" s="98">
        <f>E208*D208</f>
        <v>4070</v>
      </c>
      <c r="G208" s="18"/>
      <c r="I208" s="135"/>
    </row>
    <row r="209" spans="1:9" outlineLevel="1" x14ac:dyDescent="0.25">
      <c r="A209" s="38" t="s">
        <v>822</v>
      </c>
      <c r="B209" s="124" t="s">
        <v>823</v>
      </c>
      <c r="C209" s="125" t="s">
        <v>290</v>
      </c>
      <c r="D209" s="126">
        <v>17</v>
      </c>
      <c r="E209" s="98">
        <v>310</v>
      </c>
      <c r="F209" s="98">
        <f t="shared" ref="F209:F216" si="4">E209*D209</f>
        <v>5270</v>
      </c>
      <c r="G209" s="18"/>
      <c r="I209" s="135"/>
    </row>
    <row r="210" spans="1:9" outlineLevel="1" x14ac:dyDescent="0.25">
      <c r="A210" s="38" t="s">
        <v>824</v>
      </c>
      <c r="B210" s="124" t="s">
        <v>825</v>
      </c>
      <c r="C210" s="125" t="s">
        <v>290</v>
      </c>
      <c r="D210" s="126">
        <v>20</v>
      </c>
      <c r="E210" s="98">
        <v>800</v>
      </c>
      <c r="F210" s="98">
        <f t="shared" si="4"/>
        <v>16000</v>
      </c>
      <c r="G210" s="18"/>
      <c r="I210" s="135"/>
    </row>
    <row r="211" spans="1:9" ht="27" customHeight="1" outlineLevel="1" x14ac:dyDescent="0.25">
      <c r="A211" s="38" t="s">
        <v>826</v>
      </c>
      <c r="B211" s="124" t="s">
        <v>827</v>
      </c>
      <c r="C211" s="125" t="s">
        <v>460</v>
      </c>
      <c r="D211" s="126">
        <f>D96</f>
        <v>48</v>
      </c>
      <c r="E211" s="127">
        <v>510</v>
      </c>
      <c r="F211" s="98">
        <f t="shared" si="4"/>
        <v>24480</v>
      </c>
      <c r="G211" s="18"/>
      <c r="I211" s="135"/>
    </row>
    <row r="212" spans="1:9" ht="26.4" outlineLevel="1" x14ac:dyDescent="0.25">
      <c r="A212" s="38" t="s">
        <v>828</v>
      </c>
      <c r="B212" s="124" t="s">
        <v>829</v>
      </c>
      <c r="C212" s="125" t="s">
        <v>460</v>
      </c>
      <c r="D212" s="126">
        <f>D97</f>
        <v>12</v>
      </c>
      <c r="E212" s="127">
        <v>1200</v>
      </c>
      <c r="F212" s="98">
        <f t="shared" si="4"/>
        <v>14400</v>
      </c>
      <c r="G212" s="18"/>
      <c r="I212" s="135"/>
    </row>
    <row r="213" spans="1:9" outlineLevel="1" x14ac:dyDescent="0.25">
      <c r="A213" s="38" t="s">
        <v>830</v>
      </c>
      <c r="B213" s="124" t="s">
        <v>831</v>
      </c>
      <c r="C213" s="125" t="s">
        <v>460</v>
      </c>
      <c r="D213" s="126">
        <f>D98</f>
        <v>2</v>
      </c>
      <c r="E213" s="127">
        <v>2320</v>
      </c>
      <c r="F213" s="98">
        <f t="shared" si="4"/>
        <v>4640</v>
      </c>
      <c r="G213" s="18"/>
      <c r="I213" s="135"/>
    </row>
    <row r="214" spans="1:9" ht="26.4" outlineLevel="1" x14ac:dyDescent="0.25">
      <c r="A214" s="38" t="s">
        <v>832</v>
      </c>
      <c r="B214" s="124" t="s">
        <v>833</v>
      </c>
      <c r="C214" s="125" t="s">
        <v>460</v>
      </c>
      <c r="D214" s="126">
        <f>D99</f>
        <v>39</v>
      </c>
      <c r="E214" s="127">
        <v>400</v>
      </c>
      <c r="F214" s="98">
        <f t="shared" si="4"/>
        <v>15600</v>
      </c>
      <c r="G214" s="18"/>
      <c r="I214" s="135"/>
    </row>
    <row r="215" spans="1:9" ht="26.4" outlineLevel="1" x14ac:dyDescent="0.25">
      <c r="A215" s="38" t="s">
        <v>834</v>
      </c>
      <c r="B215" s="124" t="s">
        <v>835</v>
      </c>
      <c r="C215" s="125" t="s">
        <v>460</v>
      </c>
      <c r="D215" s="126">
        <f>D192</f>
        <v>24</v>
      </c>
      <c r="E215" s="127">
        <v>170</v>
      </c>
      <c r="F215" s="98">
        <f t="shared" si="4"/>
        <v>4080</v>
      </c>
      <c r="G215" s="18"/>
      <c r="I215" s="135"/>
    </row>
    <row r="216" spans="1:9" ht="26.4" outlineLevel="1" x14ac:dyDescent="0.25">
      <c r="A216" s="38" t="s">
        <v>836</v>
      </c>
      <c r="B216" s="124" t="s">
        <v>837</v>
      </c>
      <c r="C216" s="125" t="s">
        <v>460</v>
      </c>
      <c r="D216" s="126">
        <f>D211</f>
        <v>48</v>
      </c>
      <c r="E216" s="98">
        <v>280</v>
      </c>
      <c r="F216" s="98">
        <f t="shared" si="4"/>
        <v>13440</v>
      </c>
      <c r="G216" s="18"/>
      <c r="I216" s="135"/>
    </row>
    <row r="217" spans="1:9" ht="26.4" outlineLevel="1" x14ac:dyDescent="0.25">
      <c r="A217" s="38" t="s">
        <v>838</v>
      </c>
      <c r="B217" s="6" t="s">
        <v>839</v>
      </c>
      <c r="C217" s="20" t="s">
        <v>672</v>
      </c>
      <c r="D217" s="88">
        <f>((1.46*53)*0.25)*2</f>
        <v>38.69</v>
      </c>
      <c r="E217" s="89">
        <v>750</v>
      </c>
      <c r="F217" s="13">
        <f t="shared" si="3"/>
        <v>29017.5</v>
      </c>
      <c r="G217" s="18" t="s">
        <v>840</v>
      </c>
      <c r="I217" s="135"/>
    </row>
    <row r="218" spans="1:9" ht="26.4" outlineLevel="1" x14ac:dyDescent="0.25">
      <c r="A218" s="38" t="s">
        <v>841</v>
      </c>
      <c r="B218" s="6" t="s">
        <v>842</v>
      </c>
      <c r="C218" s="20" t="s">
        <v>460</v>
      </c>
      <c r="D218" s="88">
        <v>12</v>
      </c>
      <c r="E218" s="89">
        <v>2000</v>
      </c>
      <c r="F218" s="13">
        <f t="shared" si="3"/>
        <v>24000</v>
      </c>
      <c r="G218" s="18" t="s">
        <v>843</v>
      </c>
      <c r="I218" s="135"/>
    </row>
    <row r="219" spans="1:9" ht="26.4" outlineLevel="1" x14ac:dyDescent="0.25">
      <c r="A219" s="38" t="s">
        <v>844</v>
      </c>
      <c r="B219" s="6" t="s">
        <v>845</v>
      </c>
      <c r="C219" s="7" t="s">
        <v>460</v>
      </c>
      <c r="D219" s="128">
        <v>6</v>
      </c>
      <c r="E219" s="91">
        <v>700</v>
      </c>
      <c r="F219" s="13">
        <f t="shared" si="3"/>
        <v>4200</v>
      </c>
      <c r="G219" s="92"/>
      <c r="I219" s="135"/>
    </row>
    <row r="220" spans="1:9" x14ac:dyDescent="0.25">
      <c r="A220" s="81"/>
      <c r="B220" s="17" t="s">
        <v>132</v>
      </c>
      <c r="C220" s="95"/>
      <c r="D220" s="96"/>
      <c r="E220" s="86"/>
      <c r="F220" s="87">
        <f>SUM(F221:F228)</f>
        <v>928563.6</v>
      </c>
      <c r="G220" s="85"/>
      <c r="I220" s="135"/>
    </row>
    <row r="221" spans="1:9" outlineLevel="1" x14ac:dyDescent="0.25">
      <c r="A221" s="38" t="s">
        <v>846</v>
      </c>
      <c r="B221" s="6" t="s">
        <v>847</v>
      </c>
      <c r="C221" s="20" t="s">
        <v>616</v>
      </c>
      <c r="D221" s="88">
        <v>36</v>
      </c>
      <c r="E221" s="89">
        <v>150</v>
      </c>
      <c r="F221" s="29">
        <f t="shared" si="3"/>
        <v>5400</v>
      </c>
      <c r="G221" s="21"/>
      <c r="I221" s="135"/>
    </row>
    <row r="222" spans="1:9" ht="26.4" outlineLevel="1" x14ac:dyDescent="0.25">
      <c r="A222" s="38" t="s">
        <v>848</v>
      </c>
      <c r="B222" s="6" t="s">
        <v>849</v>
      </c>
      <c r="C222" s="20" t="s">
        <v>616</v>
      </c>
      <c r="D222" s="88">
        <v>27</v>
      </c>
      <c r="E222" s="89">
        <v>150</v>
      </c>
      <c r="F222" s="29">
        <f t="shared" si="3"/>
        <v>4050</v>
      </c>
      <c r="G222" s="21"/>
      <c r="I222" s="135"/>
    </row>
    <row r="223" spans="1:9" ht="26.4" outlineLevel="1" x14ac:dyDescent="0.25">
      <c r="A223" s="38" t="s">
        <v>850</v>
      </c>
      <c r="B223" s="6" t="s">
        <v>851</v>
      </c>
      <c r="C223" s="20" t="s">
        <v>616</v>
      </c>
      <c r="D223" s="88">
        <v>36</v>
      </c>
      <c r="E223" s="89">
        <f>3941*1.1</f>
        <v>4335.1000000000004</v>
      </c>
      <c r="F223" s="29">
        <f t="shared" si="3"/>
        <v>156063.6</v>
      </c>
      <c r="G223" s="21"/>
      <c r="I223" s="135"/>
    </row>
    <row r="224" spans="1:9" ht="31.2" customHeight="1" outlineLevel="1" x14ac:dyDescent="0.25">
      <c r="A224" s="38" t="s">
        <v>852</v>
      </c>
      <c r="B224" s="6" t="s">
        <v>853</v>
      </c>
      <c r="C224" s="20" t="s">
        <v>616</v>
      </c>
      <c r="D224" s="88">
        <v>36</v>
      </c>
      <c r="E224" s="89">
        <v>1500</v>
      </c>
      <c r="F224" s="29">
        <f t="shared" si="3"/>
        <v>54000</v>
      </c>
      <c r="G224" s="129" t="s">
        <v>854</v>
      </c>
      <c r="I224" s="135"/>
    </row>
    <row r="225" spans="1:10" ht="26.4" outlineLevel="1" x14ac:dyDescent="0.25">
      <c r="A225" s="38" t="s">
        <v>855</v>
      </c>
      <c r="B225" s="6" t="s">
        <v>856</v>
      </c>
      <c r="C225" s="20" t="s">
        <v>616</v>
      </c>
      <c r="D225" s="88">
        <v>30</v>
      </c>
      <c r="E225" s="89">
        <v>1150</v>
      </c>
      <c r="F225" s="29">
        <f t="shared" si="3"/>
        <v>34500</v>
      </c>
      <c r="G225" s="22"/>
      <c r="I225" s="135"/>
    </row>
    <row r="226" spans="1:10" outlineLevel="1" x14ac:dyDescent="0.25">
      <c r="A226" s="38" t="s">
        <v>857</v>
      </c>
      <c r="B226" s="6" t="s">
        <v>858</v>
      </c>
      <c r="C226" s="20" t="s">
        <v>616</v>
      </c>
      <c r="D226" s="88">
        <v>33</v>
      </c>
      <c r="E226" s="89">
        <v>1350</v>
      </c>
      <c r="F226" s="29">
        <f t="shared" si="3"/>
        <v>44550</v>
      </c>
      <c r="G226" s="21"/>
      <c r="I226" s="135"/>
    </row>
    <row r="227" spans="1:10" ht="26.4" outlineLevel="1" x14ac:dyDescent="0.25">
      <c r="A227" s="38" t="s">
        <v>859</v>
      </c>
      <c r="B227" s="6" t="s">
        <v>860</v>
      </c>
      <c r="C227" s="46" t="s">
        <v>616</v>
      </c>
      <c r="D227" s="99">
        <v>3</v>
      </c>
      <c r="E227" s="89">
        <f>1000*120</f>
        <v>120000</v>
      </c>
      <c r="F227" s="29">
        <f t="shared" si="3"/>
        <v>360000</v>
      </c>
      <c r="G227" s="236" t="s">
        <v>861</v>
      </c>
      <c r="I227" s="135"/>
    </row>
    <row r="228" spans="1:10" outlineLevel="1" x14ac:dyDescent="0.25">
      <c r="A228" s="38" t="s">
        <v>862</v>
      </c>
      <c r="B228" s="6" t="s">
        <v>863</v>
      </c>
      <c r="C228" s="46" t="s">
        <v>616</v>
      </c>
      <c r="D228" s="99">
        <v>3</v>
      </c>
      <c r="E228" s="89">
        <f>1000*90</f>
        <v>90000</v>
      </c>
      <c r="F228" s="29">
        <f t="shared" si="3"/>
        <v>270000</v>
      </c>
      <c r="G228" s="236"/>
      <c r="I228" s="135"/>
    </row>
    <row r="229" spans="1:10" x14ac:dyDescent="0.25">
      <c r="A229" s="100"/>
      <c r="B229" s="27" t="s">
        <v>864</v>
      </c>
      <c r="C229" s="101"/>
      <c r="D229" s="102"/>
      <c r="E229" s="102"/>
      <c r="F229" s="103">
        <f>SUM(F230:F238)</f>
        <v>219230</v>
      </c>
      <c r="G229" s="101"/>
      <c r="I229" s="135"/>
    </row>
    <row r="230" spans="1:10" outlineLevel="1" x14ac:dyDescent="0.25">
      <c r="A230" s="38" t="s">
        <v>865</v>
      </c>
      <c r="B230" s="6" t="s">
        <v>866</v>
      </c>
      <c r="C230" s="20" t="s">
        <v>616</v>
      </c>
      <c r="D230" s="88">
        <v>24</v>
      </c>
      <c r="E230" s="83">
        <f>14700*0.2</f>
        <v>2940</v>
      </c>
      <c r="F230" s="29">
        <f t="shared" si="3"/>
        <v>70560</v>
      </c>
      <c r="G230" s="18"/>
      <c r="I230" s="135"/>
    </row>
    <row r="231" spans="1:10" outlineLevel="1" x14ac:dyDescent="0.25">
      <c r="A231" s="38" t="s">
        <v>867</v>
      </c>
      <c r="B231" s="6" t="s">
        <v>868</v>
      </c>
      <c r="C231" s="20" t="s">
        <v>532</v>
      </c>
      <c r="D231" s="88">
        <v>20</v>
      </c>
      <c r="E231" s="83">
        <v>1000</v>
      </c>
      <c r="F231" s="29">
        <f t="shared" si="3"/>
        <v>20000</v>
      </c>
      <c r="G231" s="18"/>
      <c r="I231" s="133"/>
    </row>
    <row r="232" spans="1:10" ht="26.4" outlineLevel="1" x14ac:dyDescent="0.25">
      <c r="A232" s="38" t="s">
        <v>869</v>
      </c>
      <c r="B232" s="6" t="s">
        <v>870</v>
      </c>
      <c r="C232" s="20" t="s">
        <v>616</v>
      </c>
      <c r="D232" s="88">
        <v>24</v>
      </c>
      <c r="E232" s="89">
        <v>1000</v>
      </c>
      <c r="F232" s="29">
        <f t="shared" si="3"/>
        <v>24000</v>
      </c>
      <c r="G232" s="18"/>
      <c r="I232" s="133"/>
    </row>
    <row r="233" spans="1:10" outlineLevel="1" x14ac:dyDescent="0.25">
      <c r="A233" s="38" t="s">
        <v>871</v>
      </c>
      <c r="B233" s="6" t="s">
        <v>872</v>
      </c>
      <c r="C233" s="20" t="s">
        <v>616</v>
      </c>
      <c r="D233" s="88">
        <v>3</v>
      </c>
      <c r="E233" s="83">
        <v>2940</v>
      </c>
      <c r="F233" s="29">
        <f>D233*E233</f>
        <v>8820</v>
      </c>
      <c r="G233" s="18"/>
      <c r="I233" s="133"/>
    </row>
    <row r="234" spans="1:10" outlineLevel="1" x14ac:dyDescent="0.25">
      <c r="A234" s="38" t="s">
        <v>873</v>
      </c>
      <c r="B234" s="6" t="s">
        <v>874</v>
      </c>
      <c r="C234" s="20" t="s">
        <v>616</v>
      </c>
      <c r="D234" s="88">
        <v>3</v>
      </c>
      <c r="E234" s="104">
        <v>4500</v>
      </c>
      <c r="F234" s="29">
        <f t="shared" si="3"/>
        <v>13500</v>
      </c>
      <c r="G234" s="23"/>
      <c r="I234" s="133"/>
    </row>
    <row r="235" spans="1:10" outlineLevel="1" x14ac:dyDescent="0.25">
      <c r="A235" s="38" t="s">
        <v>875</v>
      </c>
      <c r="B235" s="6" t="s">
        <v>876</v>
      </c>
      <c r="C235" s="20" t="s">
        <v>616</v>
      </c>
      <c r="D235" s="88">
        <v>3</v>
      </c>
      <c r="E235" s="105">
        <v>1500</v>
      </c>
      <c r="F235" s="29">
        <f t="shared" si="3"/>
        <v>4500</v>
      </c>
      <c r="G235" s="24"/>
      <c r="I235" s="133"/>
    </row>
    <row r="236" spans="1:10" outlineLevel="1" x14ac:dyDescent="0.25">
      <c r="A236" s="38" t="s">
        <v>877</v>
      </c>
      <c r="B236" s="6" t="s">
        <v>878</v>
      </c>
      <c r="C236" s="20" t="s">
        <v>616</v>
      </c>
      <c r="D236" s="88">
        <v>3</v>
      </c>
      <c r="E236" s="105">
        <v>750</v>
      </c>
      <c r="F236" s="29">
        <f t="shared" si="3"/>
        <v>2250</v>
      </c>
      <c r="G236" s="24"/>
      <c r="I236" s="133"/>
    </row>
    <row r="237" spans="1:10" ht="26.4" outlineLevel="1" x14ac:dyDescent="0.25">
      <c r="A237" s="38" t="s">
        <v>879</v>
      </c>
      <c r="B237" s="6" t="s">
        <v>880</v>
      </c>
      <c r="C237" s="7" t="s">
        <v>616</v>
      </c>
      <c r="D237" s="128">
        <v>24</v>
      </c>
      <c r="E237" s="34">
        <v>3000</v>
      </c>
      <c r="F237" s="13">
        <f t="shared" si="3"/>
        <v>72000</v>
      </c>
      <c r="G237" s="24" t="s">
        <v>881</v>
      </c>
      <c r="I237" s="133"/>
    </row>
    <row r="238" spans="1:10" outlineLevel="1" x14ac:dyDescent="0.25">
      <c r="A238" s="38" t="s">
        <v>882</v>
      </c>
      <c r="B238" s="6" t="s">
        <v>648</v>
      </c>
      <c r="C238" s="20" t="s">
        <v>616</v>
      </c>
      <c r="D238" s="88">
        <v>24</v>
      </c>
      <c r="E238" s="105">
        <v>150</v>
      </c>
      <c r="F238" s="29">
        <f t="shared" si="3"/>
        <v>3600</v>
      </c>
      <c r="G238" s="24"/>
      <c r="I238" s="133"/>
    </row>
    <row r="239" spans="1:10" s="26" customFormat="1" ht="22.95" customHeight="1" x14ac:dyDescent="0.25">
      <c r="A239" s="6"/>
      <c r="B239" s="5" t="s">
        <v>883</v>
      </c>
      <c r="C239" s="6"/>
      <c r="D239" s="34"/>
      <c r="E239" s="74"/>
      <c r="F239" s="30">
        <f>F229+F220+F191+F124+F122</f>
        <v>18286059.733690228</v>
      </c>
      <c r="G239" s="6"/>
      <c r="H239" s="132"/>
      <c r="I239" s="134"/>
      <c r="J239" s="130"/>
    </row>
    <row r="240" spans="1:10" x14ac:dyDescent="0.25">
      <c r="A240" s="15" t="s">
        <v>434</v>
      </c>
      <c r="B240" s="14" t="s">
        <v>435</v>
      </c>
      <c r="C240" s="70"/>
      <c r="D240" s="70"/>
      <c r="E240" s="79"/>
      <c r="F240" s="80"/>
      <c r="G240" s="70"/>
      <c r="I240" s="133"/>
    </row>
    <row r="241" spans="1:9" x14ac:dyDescent="0.25">
      <c r="A241" s="7" t="s">
        <v>884</v>
      </c>
      <c r="B241" s="6" t="s">
        <v>885</v>
      </c>
      <c r="C241" s="7" t="s">
        <v>886</v>
      </c>
      <c r="D241" s="7">
        <v>25</v>
      </c>
      <c r="E241" s="106">
        <v>3500</v>
      </c>
      <c r="F241" s="31">
        <f t="shared" ref="F241:F242" si="5">D241*E241</f>
        <v>87500</v>
      </c>
      <c r="G241" s="6"/>
      <c r="I241" s="133"/>
    </row>
    <row r="242" spans="1:9" x14ac:dyDescent="0.25">
      <c r="A242" s="7" t="s">
        <v>887</v>
      </c>
      <c r="B242" s="6" t="s">
        <v>888</v>
      </c>
      <c r="C242" s="7" t="s">
        <v>886</v>
      </c>
      <c r="D242" s="7">
        <v>12</v>
      </c>
      <c r="E242" s="107">
        <v>75000</v>
      </c>
      <c r="F242" s="31">
        <f t="shared" si="5"/>
        <v>900000</v>
      </c>
      <c r="G242" s="108"/>
      <c r="I242" s="133"/>
    </row>
    <row r="243" spans="1:9" ht="13.8" x14ac:dyDescent="0.25">
      <c r="A243" s="7" t="s">
        <v>889</v>
      </c>
      <c r="B243" s="57" t="s">
        <v>890</v>
      </c>
      <c r="C243" s="48" t="s">
        <v>886</v>
      </c>
      <c r="D243" s="7">
        <v>12</v>
      </c>
      <c r="E243" s="49">
        <v>25000</v>
      </c>
      <c r="F243" s="50">
        <f>D243*E243</f>
        <v>300000</v>
      </c>
      <c r="G243" s="108"/>
      <c r="I243" s="133"/>
    </row>
    <row r="244" spans="1:9" ht="22.95" customHeight="1" x14ac:dyDescent="0.25">
      <c r="A244" s="6"/>
      <c r="B244" s="5" t="s">
        <v>891</v>
      </c>
      <c r="C244" s="6"/>
      <c r="D244" s="6"/>
      <c r="E244" s="106"/>
      <c r="F244" s="78">
        <f>SUM(F241:F243)</f>
        <v>1287500</v>
      </c>
      <c r="G244" s="6"/>
      <c r="I244" s="133"/>
    </row>
    <row r="245" spans="1:9" ht="22.95" customHeight="1" x14ac:dyDescent="0.25">
      <c r="A245" s="6"/>
      <c r="B245" s="5" t="s">
        <v>892</v>
      </c>
      <c r="C245" s="6"/>
      <c r="D245" s="6"/>
      <c r="E245" s="106"/>
      <c r="F245" s="30" t="e">
        <f>F244+F239+F120</f>
        <v>#VALUE!</v>
      </c>
      <c r="G245" s="6"/>
      <c r="I245" s="133"/>
    </row>
    <row r="246" spans="1:9" x14ac:dyDescent="0.25">
      <c r="A246" s="15" t="s">
        <v>436</v>
      </c>
      <c r="B246" s="14" t="s">
        <v>437</v>
      </c>
      <c r="C246" s="70"/>
      <c r="D246" s="70"/>
      <c r="E246" s="79"/>
      <c r="F246" s="75"/>
      <c r="G246" s="70"/>
      <c r="I246" s="133"/>
    </row>
    <row r="247" spans="1:9" x14ac:dyDescent="0.25">
      <c r="A247" s="7" t="s">
        <v>893</v>
      </c>
      <c r="B247" s="6" t="s">
        <v>894</v>
      </c>
      <c r="C247" s="7" t="s">
        <v>895</v>
      </c>
      <c r="D247" s="7">
        <f>25*15</f>
        <v>375</v>
      </c>
      <c r="E247" s="106">
        <v>1100</v>
      </c>
      <c r="F247" s="13">
        <f t="shared" ref="F247:F248" si="6">D247*E247</f>
        <v>412500</v>
      </c>
      <c r="G247" s="6"/>
      <c r="I247" s="133"/>
    </row>
    <row r="248" spans="1:9" x14ac:dyDescent="0.25">
      <c r="A248" s="7" t="s">
        <v>896</v>
      </c>
      <c r="B248" s="6" t="s">
        <v>897</v>
      </c>
      <c r="C248" s="7" t="s">
        <v>898</v>
      </c>
      <c r="D248" s="7">
        <v>15</v>
      </c>
      <c r="E248" s="106">
        <v>2009</v>
      </c>
      <c r="F248" s="13">
        <f t="shared" si="6"/>
        <v>30135</v>
      </c>
      <c r="G248" s="6"/>
      <c r="I248" s="133"/>
    </row>
    <row r="249" spans="1:9" x14ac:dyDescent="0.25">
      <c r="A249" s="6"/>
      <c r="B249" s="6" t="s">
        <v>899</v>
      </c>
      <c r="C249" s="109">
        <v>0.1</v>
      </c>
      <c r="D249" s="6"/>
      <c r="E249" s="106"/>
      <c r="F249" s="34" t="e">
        <f>F120*C249</f>
        <v>#VALUE!</v>
      </c>
      <c r="G249" s="6"/>
      <c r="I249" s="133"/>
    </row>
    <row r="250" spans="1:9" x14ac:dyDescent="0.25">
      <c r="A250" s="6"/>
      <c r="B250" s="6" t="s">
        <v>900</v>
      </c>
      <c r="C250" s="109">
        <v>0.08</v>
      </c>
      <c r="D250" s="6"/>
      <c r="E250" s="106"/>
      <c r="F250" s="34" t="e">
        <f>(F120+F249)*C250</f>
        <v>#VALUE!</v>
      </c>
      <c r="G250" s="6"/>
      <c r="I250" s="133"/>
    </row>
    <row r="251" spans="1:9" ht="22.95" customHeight="1" x14ac:dyDescent="0.25">
      <c r="A251" s="6"/>
      <c r="B251" s="5" t="s">
        <v>901</v>
      </c>
      <c r="C251" s="6"/>
      <c r="D251" s="6"/>
      <c r="E251" s="106"/>
      <c r="F251" s="32" t="e">
        <f>SUM(F245:F250)</f>
        <v>#VALUE!</v>
      </c>
      <c r="G251" s="6"/>
      <c r="I251" s="133"/>
    </row>
    <row r="252" spans="1:9" x14ac:dyDescent="0.25">
      <c r="A252" s="15" t="s">
        <v>438</v>
      </c>
      <c r="B252" s="14" t="s">
        <v>439</v>
      </c>
      <c r="C252" s="70"/>
      <c r="D252" s="70"/>
      <c r="E252" s="79"/>
      <c r="F252" s="75"/>
      <c r="G252" s="70"/>
      <c r="I252" s="133"/>
    </row>
    <row r="253" spans="1:9" x14ac:dyDescent="0.25">
      <c r="A253" s="7" t="s">
        <v>902</v>
      </c>
      <c r="B253" s="6" t="s">
        <v>903</v>
      </c>
      <c r="C253" s="110">
        <v>0.17249999999999999</v>
      </c>
      <c r="D253" s="6"/>
      <c r="E253" s="106"/>
      <c r="F253" s="34" t="e">
        <f>F120*C253</f>
        <v>#VALUE!</v>
      </c>
      <c r="G253" s="6"/>
      <c r="I253" s="133"/>
    </row>
    <row r="254" spans="1:9" x14ac:dyDescent="0.25">
      <c r="A254" s="7" t="s">
        <v>904</v>
      </c>
      <c r="B254" s="6" t="s">
        <v>905</v>
      </c>
      <c r="C254" s="109">
        <v>0.12</v>
      </c>
      <c r="D254" s="6"/>
      <c r="E254" s="106"/>
      <c r="F254" s="34" t="e">
        <f>(F251+F253)*C254</f>
        <v>#VALUE!</v>
      </c>
      <c r="G254" s="6"/>
      <c r="I254" s="133"/>
    </row>
    <row r="255" spans="1:9" x14ac:dyDescent="0.25">
      <c r="A255" s="7" t="s">
        <v>906</v>
      </c>
      <c r="B255" s="6" t="s">
        <v>907</v>
      </c>
      <c r="C255" s="109">
        <v>0.02</v>
      </c>
      <c r="D255" s="6"/>
      <c r="E255" s="106"/>
      <c r="F255" s="34" t="e">
        <f>(F251+F253)*C255</f>
        <v>#VALUE!</v>
      </c>
      <c r="G255" s="6"/>
      <c r="I255" s="133"/>
    </row>
    <row r="256" spans="1:9" x14ac:dyDescent="0.25">
      <c r="A256" s="7" t="s">
        <v>908</v>
      </c>
      <c r="B256" s="6" t="s">
        <v>909</v>
      </c>
      <c r="C256" s="109">
        <v>0.04</v>
      </c>
      <c r="D256" s="6"/>
      <c r="E256" s="106"/>
      <c r="F256" s="34"/>
      <c r="G256" s="6"/>
      <c r="I256" s="133"/>
    </row>
    <row r="257" spans="1:9" ht="22.95" customHeight="1" x14ac:dyDescent="0.25">
      <c r="A257" s="70"/>
      <c r="B257" s="14" t="s">
        <v>910</v>
      </c>
      <c r="C257" s="70"/>
      <c r="D257" s="70"/>
      <c r="E257" s="79"/>
      <c r="F257" s="35" t="e">
        <f>SUM(F251:F256)</f>
        <v>#VALUE!</v>
      </c>
      <c r="G257" s="70"/>
      <c r="I257" s="133"/>
    </row>
    <row r="258" spans="1:9" x14ac:dyDescent="0.25">
      <c r="A258" s="6"/>
      <c r="B258" s="6" t="s">
        <v>911</v>
      </c>
      <c r="C258" s="109">
        <v>0.1</v>
      </c>
      <c r="D258" s="6"/>
      <c r="E258" s="106"/>
      <c r="F258" s="34" t="e">
        <f>F257*C258</f>
        <v>#VALUE!</v>
      </c>
      <c r="G258" s="6"/>
      <c r="I258" s="133"/>
    </row>
    <row r="259" spans="1:9" ht="22.95" customHeight="1" x14ac:dyDescent="0.25">
      <c r="A259" s="70"/>
      <c r="B259" s="14" t="s">
        <v>912</v>
      </c>
      <c r="C259" s="70"/>
      <c r="D259" s="70"/>
      <c r="E259" s="79"/>
      <c r="F259" s="35" t="e">
        <f>SUM(F257:F258)</f>
        <v>#VALUE!</v>
      </c>
      <c r="G259" s="70"/>
      <c r="I259" s="133"/>
    </row>
    <row r="260" spans="1:9" ht="15" customHeight="1" x14ac:dyDescent="0.25">
      <c r="A260" s="64"/>
      <c r="B260" s="64"/>
      <c r="C260" s="64"/>
      <c r="D260" s="64"/>
      <c r="E260" s="111"/>
      <c r="F260" s="64"/>
      <c r="G260" s="64"/>
    </row>
    <row r="261" spans="1:9" x14ac:dyDescent="0.25">
      <c r="A261" s="64"/>
      <c r="B261" s="64"/>
      <c r="C261" s="64"/>
      <c r="D261" s="64"/>
      <c r="E261" s="111"/>
      <c r="F261" s="64"/>
      <c r="G261" s="64"/>
    </row>
    <row r="262" spans="1:9" x14ac:dyDescent="0.25">
      <c r="A262" s="64"/>
      <c r="B262" s="237"/>
      <c r="C262" s="237"/>
      <c r="D262" s="237"/>
      <c r="E262" s="112"/>
      <c r="F262" s="113"/>
      <c r="G262" s="64"/>
    </row>
    <row r="263" spans="1:9" x14ac:dyDescent="0.25">
      <c r="A263" s="64"/>
      <c r="B263" s="114"/>
      <c r="C263" s="112"/>
      <c r="D263" s="115"/>
      <c r="E263" s="112"/>
      <c r="F263" s="116"/>
      <c r="G263" s="64"/>
    </row>
    <row r="264" spans="1:9" x14ac:dyDescent="0.25">
      <c r="A264" s="64"/>
      <c r="B264" s="117"/>
      <c r="C264" s="118"/>
      <c r="D264" s="119"/>
      <c r="E264" s="118"/>
      <c r="F264" s="118"/>
      <c r="G264" s="64"/>
    </row>
    <row r="265" spans="1:9" x14ac:dyDescent="0.25">
      <c r="A265" s="64"/>
      <c r="B265" s="120" t="s">
        <v>913</v>
      </c>
      <c r="C265" s="241" t="s">
        <v>914</v>
      </c>
      <c r="D265" s="241"/>
      <c r="E265" s="241" t="s">
        <v>915</v>
      </c>
      <c r="F265" s="241"/>
      <c r="G265" s="64"/>
    </row>
    <row r="266" spans="1:9" x14ac:dyDescent="0.25">
      <c r="A266" s="64"/>
      <c r="B266" s="64"/>
      <c r="C266" s="64"/>
      <c r="D266" s="64"/>
      <c r="E266" s="111"/>
      <c r="F266" s="64"/>
      <c r="G266" s="64"/>
    </row>
    <row r="267" spans="1:9" x14ac:dyDescent="0.25">
      <c r="A267" s="64"/>
      <c r="B267" s="64"/>
      <c r="C267" s="64"/>
      <c r="D267" s="64"/>
      <c r="E267" s="111"/>
      <c r="F267" s="64"/>
      <c r="G267" s="64"/>
    </row>
    <row r="269" spans="1:9" x14ac:dyDescent="0.25">
      <c r="A269" s="52"/>
      <c r="B269" s="52"/>
      <c r="C269" s="52"/>
      <c r="D269" s="52"/>
      <c r="E269" s="221"/>
      <c r="F269" s="222"/>
      <c r="G269" s="52"/>
    </row>
    <row r="270" spans="1:9" x14ac:dyDescent="0.25">
      <c r="A270" s="52"/>
      <c r="B270" s="52"/>
      <c r="C270" s="52"/>
      <c r="D270" s="52"/>
      <c r="E270" s="221"/>
      <c r="F270" s="53"/>
      <c r="G270" s="52"/>
    </row>
    <row r="271" spans="1:9" x14ac:dyDescent="0.25">
      <c r="A271" s="52"/>
      <c r="B271" s="52"/>
      <c r="C271" s="52"/>
      <c r="D271" s="52"/>
      <c r="E271" s="221"/>
      <c r="F271" s="53"/>
      <c r="G271" s="52"/>
    </row>
    <row r="272" spans="1:9" x14ac:dyDescent="0.25">
      <c r="A272" s="52"/>
      <c r="B272" s="52"/>
      <c r="C272" s="52"/>
      <c r="D272" s="52"/>
      <c r="E272" s="221"/>
      <c r="F272" s="54"/>
      <c r="G272" s="52"/>
    </row>
    <row r="273" spans="6:7" x14ac:dyDescent="0.25">
      <c r="F273" s="54"/>
      <c r="G273" s="52"/>
    </row>
    <row r="274" spans="6:7" ht="13.8" x14ac:dyDescent="0.25">
      <c r="F274" s="55"/>
      <c r="G274" s="56"/>
    </row>
  </sheetData>
  <mergeCells count="14">
    <mergeCell ref="H68:H72"/>
    <mergeCell ref="C265:D265"/>
    <mergeCell ref="E265:F265"/>
    <mergeCell ref="A1:G1"/>
    <mergeCell ref="A7:C7"/>
    <mergeCell ref="B20:E20"/>
    <mergeCell ref="G103:G108"/>
    <mergeCell ref="G109:G110"/>
    <mergeCell ref="B111:E111"/>
    <mergeCell ref="I123:J123"/>
    <mergeCell ref="G112:G120"/>
    <mergeCell ref="B122:E122"/>
    <mergeCell ref="G227:G228"/>
    <mergeCell ref="B262:D262"/>
  </mergeCells>
  <pageMargins left="0.7" right="0.7" top="0.75" bottom="0.75" header="0.3" footer="0.3"/>
  <pageSetup paperSize="9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  <pageSetUpPr fitToPage="1"/>
  </sheetPr>
  <dimension ref="A1:U274"/>
  <sheetViews>
    <sheetView zoomScaleNormal="100" workbookViewId="0">
      <selection activeCell="I214" sqref="I1:N1048576"/>
    </sheetView>
  </sheetViews>
  <sheetFormatPr defaultRowHeight="13.2" outlineLevelRow="2" x14ac:dyDescent="0.25"/>
  <cols>
    <col min="1" max="1" width="8" style="4" customWidth="1"/>
    <col min="2" max="2" width="49.44140625" style="4" customWidth="1"/>
    <col min="3" max="3" width="11.44140625" style="4" customWidth="1"/>
    <col min="4" max="4" width="12.44140625" style="4" customWidth="1"/>
    <col min="5" max="5" width="13.44140625" style="8" customWidth="1"/>
    <col min="6" max="6" width="16.33203125" style="4" customWidth="1"/>
    <col min="7" max="7" width="21.33203125" style="4" customWidth="1"/>
    <col min="8" max="8" width="14" customWidth="1"/>
    <col min="9" max="14" width="11.109375" customWidth="1"/>
  </cols>
  <sheetData>
    <row r="1" spans="1:21" ht="40.200000000000003" customHeight="1" x14ac:dyDescent="0.25">
      <c r="A1" s="242" t="s">
        <v>418</v>
      </c>
      <c r="B1" s="242"/>
      <c r="C1" s="242"/>
      <c r="D1" s="242"/>
      <c r="E1" s="242"/>
      <c r="F1" s="242"/>
      <c r="G1" s="242"/>
      <c r="H1" s="61"/>
    </row>
    <row r="2" spans="1:21" ht="13.2" customHeight="1" x14ac:dyDescent="0.25">
      <c r="A2" s="64"/>
      <c r="B2" s="62" t="s">
        <v>419</v>
      </c>
      <c r="C2" s="65" t="s">
        <v>420</v>
      </c>
      <c r="D2" s="60"/>
      <c r="E2" s="60"/>
      <c r="F2" s="60"/>
      <c r="G2" s="60"/>
      <c r="H2" s="61"/>
    </row>
    <row r="3" spans="1:21" ht="12" customHeight="1" x14ac:dyDescent="0.25">
      <c r="A3" s="64"/>
      <c r="B3" s="60" t="s">
        <v>421</v>
      </c>
      <c r="C3" s="66" t="s">
        <v>422</v>
      </c>
      <c r="D3" s="60"/>
      <c r="E3" s="60"/>
      <c r="F3" s="60"/>
      <c r="G3" s="60"/>
      <c r="H3" s="61"/>
    </row>
    <row r="4" spans="1:21" ht="12" customHeight="1" x14ac:dyDescent="0.25">
      <c r="A4" s="64"/>
      <c r="B4" s="60" t="s">
        <v>423</v>
      </c>
      <c r="C4" s="66" t="s">
        <v>424</v>
      </c>
      <c r="D4" s="60"/>
      <c r="E4" s="60"/>
      <c r="F4" s="60"/>
      <c r="G4" s="60"/>
      <c r="H4" s="61"/>
    </row>
    <row r="5" spans="1:21" ht="12" customHeight="1" x14ac:dyDescent="0.25">
      <c r="A5" s="64"/>
      <c r="B5" s="60" t="s">
        <v>425</v>
      </c>
      <c r="C5" s="66" t="s">
        <v>426</v>
      </c>
      <c r="D5" s="60"/>
      <c r="E5" s="60"/>
      <c r="F5" s="60"/>
      <c r="G5" s="60"/>
      <c r="H5" s="61"/>
    </row>
    <row r="6" spans="1:21" ht="8.4" customHeight="1" x14ac:dyDescent="0.25">
      <c r="A6" s="64"/>
      <c r="B6" s="60"/>
      <c r="C6" s="62"/>
      <c r="D6" s="60"/>
      <c r="E6" s="60"/>
      <c r="F6" s="60"/>
      <c r="G6" s="60"/>
      <c r="H6" s="61"/>
    </row>
    <row r="7" spans="1:21" ht="17.399999999999999" customHeight="1" x14ac:dyDescent="0.25">
      <c r="A7" s="243" t="s">
        <v>427</v>
      </c>
      <c r="B7" s="243"/>
      <c r="C7" s="243"/>
      <c r="D7" s="63"/>
      <c r="E7" s="63"/>
      <c r="F7" s="63"/>
      <c r="G7" s="63"/>
      <c r="H7" s="63"/>
    </row>
    <row r="8" spans="1:21" ht="26.4" x14ac:dyDescent="0.25">
      <c r="A8" s="10" t="s">
        <v>428</v>
      </c>
      <c r="B8" s="5" t="s">
        <v>429</v>
      </c>
      <c r="C8" s="7" t="s">
        <v>430</v>
      </c>
      <c r="D8" s="67"/>
      <c r="E8" s="68"/>
      <c r="F8" s="67"/>
      <c r="G8" s="67"/>
      <c r="H8" s="1"/>
    </row>
    <row r="9" spans="1:21" ht="13.2" customHeight="1" x14ac:dyDescent="0.25">
      <c r="A9" s="7" t="s">
        <v>431</v>
      </c>
      <c r="B9" s="6" t="s">
        <v>432</v>
      </c>
      <c r="C9" s="11" t="e">
        <f>F120</f>
        <v>#VALUE!</v>
      </c>
      <c r="D9" s="67"/>
      <c r="E9" s="68"/>
      <c r="F9" s="67"/>
      <c r="G9" s="67"/>
      <c r="H9" s="2"/>
      <c r="N9" s="60"/>
      <c r="O9" s="60"/>
      <c r="P9" s="60"/>
      <c r="Q9" s="60"/>
      <c r="R9" s="60"/>
      <c r="S9" s="60"/>
      <c r="T9" s="60"/>
      <c r="U9" s="60"/>
    </row>
    <row r="10" spans="1:21" x14ac:dyDescent="0.25">
      <c r="A10" s="7" t="s">
        <v>433</v>
      </c>
      <c r="B10" s="6" t="s">
        <v>180</v>
      </c>
      <c r="C10" s="11">
        <f>F239</f>
        <v>18286059.733690228</v>
      </c>
      <c r="D10" s="67"/>
      <c r="E10" s="68"/>
      <c r="F10" s="67"/>
      <c r="G10" s="67"/>
      <c r="H10" s="2"/>
      <c r="N10" s="60"/>
      <c r="O10" s="60"/>
      <c r="P10" s="60"/>
      <c r="Q10" s="60"/>
      <c r="R10" s="60"/>
      <c r="S10" s="60"/>
      <c r="T10" s="60"/>
      <c r="U10" s="60"/>
    </row>
    <row r="11" spans="1:21" x14ac:dyDescent="0.25">
      <c r="A11" s="7" t="s">
        <v>434</v>
      </c>
      <c r="B11" s="6" t="s">
        <v>435</v>
      </c>
      <c r="C11" s="11">
        <f>F244</f>
        <v>1287500</v>
      </c>
      <c r="D11" s="67"/>
      <c r="E11" s="68"/>
      <c r="F11" s="67"/>
      <c r="G11" s="67"/>
      <c r="H11" s="2"/>
      <c r="N11" s="60"/>
      <c r="O11" s="60"/>
      <c r="P11" s="60"/>
      <c r="Q11" s="60"/>
      <c r="R11" s="60"/>
      <c r="S11" s="60"/>
      <c r="T11" s="60"/>
      <c r="U11" s="60"/>
    </row>
    <row r="12" spans="1:21" x14ac:dyDescent="0.25">
      <c r="A12" s="7" t="s">
        <v>436</v>
      </c>
      <c r="B12" s="6" t="s">
        <v>437</v>
      </c>
      <c r="C12" s="11" t="e">
        <f>SUM(F247:F250)</f>
        <v>#VALUE!</v>
      </c>
      <c r="D12" s="67"/>
      <c r="E12" s="68"/>
      <c r="F12" s="67"/>
      <c r="G12" s="67"/>
      <c r="H12" s="2"/>
    </row>
    <row r="13" spans="1:21" x14ac:dyDescent="0.25">
      <c r="A13" s="7" t="s">
        <v>438</v>
      </c>
      <c r="B13" s="6" t="s">
        <v>439</v>
      </c>
      <c r="C13" s="11" t="e">
        <f>SUM(F253:F256)</f>
        <v>#VALUE!</v>
      </c>
      <c r="D13" s="67"/>
      <c r="E13" s="68"/>
      <c r="F13" s="67"/>
      <c r="G13" s="67"/>
      <c r="H13" s="2"/>
    </row>
    <row r="14" spans="1:21" x14ac:dyDescent="0.25">
      <c r="A14" s="6"/>
      <c r="B14" s="6" t="s">
        <v>440</v>
      </c>
      <c r="C14" s="11" t="e">
        <f>F258</f>
        <v>#VALUE!</v>
      </c>
      <c r="D14" s="67"/>
      <c r="E14" s="68"/>
      <c r="F14" s="67"/>
      <c r="G14" s="67"/>
      <c r="H14" s="2"/>
    </row>
    <row r="15" spans="1:21" x14ac:dyDescent="0.25">
      <c r="A15" s="6"/>
      <c r="B15" s="5" t="s">
        <v>441</v>
      </c>
      <c r="C15" s="12" t="e">
        <f>SUM(C9:C14)</f>
        <v>#VALUE!</v>
      </c>
      <c r="D15" s="67"/>
      <c r="E15" s="68"/>
      <c r="F15" s="67"/>
      <c r="G15" s="67"/>
      <c r="H15" s="2"/>
    </row>
    <row r="16" spans="1:21" x14ac:dyDescent="0.25">
      <c r="A16" s="67"/>
      <c r="B16" s="67"/>
      <c r="C16" s="67"/>
      <c r="D16" s="67"/>
      <c r="E16" s="68"/>
      <c r="F16" s="67"/>
      <c r="G16" s="67"/>
      <c r="H16" s="1"/>
    </row>
    <row r="17" spans="1:8" ht="26.4" x14ac:dyDescent="0.25">
      <c r="A17" s="10" t="s">
        <v>428</v>
      </c>
      <c r="B17" s="10" t="s">
        <v>3</v>
      </c>
      <c r="C17" s="10" t="s">
        <v>442</v>
      </c>
      <c r="D17" s="10" t="s">
        <v>443</v>
      </c>
      <c r="E17" s="7" t="s">
        <v>444</v>
      </c>
      <c r="F17" s="10" t="s">
        <v>445</v>
      </c>
      <c r="G17" s="10" t="s">
        <v>446</v>
      </c>
      <c r="H17" s="1"/>
    </row>
    <row r="18" spans="1:8" x14ac:dyDescent="0.25">
      <c r="A18" s="69">
        <v>1</v>
      </c>
      <c r="B18" s="69">
        <v>2</v>
      </c>
      <c r="C18" s="69">
        <v>3</v>
      </c>
      <c r="D18" s="69">
        <v>4</v>
      </c>
      <c r="E18" s="69">
        <v>5</v>
      </c>
      <c r="F18" s="69">
        <v>6</v>
      </c>
      <c r="G18" s="69">
        <v>7</v>
      </c>
      <c r="H18" s="2"/>
    </row>
    <row r="19" spans="1:8" x14ac:dyDescent="0.25">
      <c r="A19" s="15" t="s">
        <v>431</v>
      </c>
      <c r="B19" s="14" t="s">
        <v>432</v>
      </c>
      <c r="C19" s="70"/>
      <c r="D19" s="70"/>
      <c r="E19" s="71"/>
      <c r="F19" s="72"/>
      <c r="G19" s="70"/>
      <c r="H19" s="2"/>
    </row>
    <row r="20" spans="1:8" ht="25.95" customHeight="1" x14ac:dyDescent="0.25">
      <c r="A20" s="70"/>
      <c r="B20" s="244" t="s">
        <v>448</v>
      </c>
      <c r="C20" s="245"/>
      <c r="D20" s="245"/>
      <c r="E20" s="245"/>
      <c r="F20" s="33" t="e">
        <f>SUM(F21:F34)</f>
        <v>#VALUE!</v>
      </c>
      <c r="G20" s="16"/>
      <c r="H20" s="2"/>
    </row>
    <row r="21" spans="1:8" outlineLevel="1" x14ac:dyDescent="0.25">
      <c r="A21" s="7" t="s">
        <v>449</v>
      </c>
      <c r="B21" s="6" t="s">
        <v>450</v>
      </c>
      <c r="C21" s="9" t="s">
        <v>186</v>
      </c>
      <c r="D21" s="73">
        <v>619.9</v>
      </c>
      <c r="E21" s="74">
        <v>250</v>
      </c>
      <c r="F21" s="28">
        <f>D21*E21</f>
        <v>154975</v>
      </c>
      <c r="G21" s="6"/>
      <c r="H21" s="2"/>
    </row>
    <row r="22" spans="1:8" outlineLevel="1" x14ac:dyDescent="0.25">
      <c r="A22" s="7" t="s">
        <v>451</v>
      </c>
      <c r="B22" s="6" t="s">
        <v>452</v>
      </c>
      <c r="C22" s="9" t="s">
        <v>186</v>
      </c>
      <c r="D22" s="73">
        <v>159</v>
      </c>
      <c r="E22" s="74">
        <v>500</v>
      </c>
      <c r="F22" s="13">
        <f t="shared" ref="F22:F88" si="0">D22*E22</f>
        <v>79500</v>
      </c>
      <c r="G22" s="6"/>
      <c r="H22" s="2"/>
    </row>
    <row r="23" spans="1:8" outlineLevel="1" x14ac:dyDescent="0.25">
      <c r="A23" s="7" t="s">
        <v>453</v>
      </c>
      <c r="B23" s="6" t="s">
        <v>454</v>
      </c>
      <c r="C23" s="9" t="s">
        <v>186</v>
      </c>
      <c r="D23" s="73">
        <v>332.6</v>
      </c>
      <c r="E23" s="74">
        <f>E22</f>
        <v>500</v>
      </c>
      <c r="F23" s="13">
        <f t="shared" si="0"/>
        <v>166300</v>
      </c>
      <c r="G23" s="6"/>
      <c r="H23" s="2"/>
    </row>
    <row r="24" spans="1:8" outlineLevel="1" x14ac:dyDescent="0.25">
      <c r="A24" s="7" t="s">
        <v>455</v>
      </c>
      <c r="B24" s="6" t="s">
        <v>456</v>
      </c>
      <c r="C24" s="9" t="s">
        <v>457</v>
      </c>
      <c r="D24" s="73">
        <v>43.2</v>
      </c>
      <c r="E24" s="74">
        <v>250</v>
      </c>
      <c r="F24" s="13">
        <f t="shared" si="0"/>
        <v>10800</v>
      </c>
      <c r="G24" s="6"/>
      <c r="H24" s="2"/>
    </row>
    <row r="25" spans="1:8" ht="27" customHeight="1" outlineLevel="1" x14ac:dyDescent="0.25">
      <c r="A25" s="7" t="s">
        <v>458</v>
      </c>
      <c r="B25" s="6" t="s">
        <v>459</v>
      </c>
      <c r="C25" s="9" t="s">
        <v>460</v>
      </c>
      <c r="D25" s="73">
        <v>48</v>
      </c>
      <c r="E25" s="74">
        <v>1500</v>
      </c>
      <c r="F25" s="13">
        <f t="shared" si="0"/>
        <v>72000</v>
      </c>
      <c r="G25" s="6"/>
      <c r="H25" s="1"/>
    </row>
    <row r="26" spans="1:8" ht="26.4" outlineLevel="1" x14ac:dyDescent="0.25">
      <c r="A26" s="7" t="s">
        <v>461</v>
      </c>
      <c r="B26" s="6" t="s">
        <v>462</v>
      </c>
      <c r="C26" s="9" t="s">
        <v>460</v>
      </c>
      <c r="D26" s="73">
        <v>69</v>
      </c>
      <c r="E26" s="74">
        <f>E25</f>
        <v>1500</v>
      </c>
      <c r="F26" s="13">
        <f t="shared" si="0"/>
        <v>103500</v>
      </c>
      <c r="G26" s="6"/>
      <c r="H26" s="1"/>
    </row>
    <row r="27" spans="1:8" outlineLevel="1" x14ac:dyDescent="0.25">
      <c r="A27" s="7" t="s">
        <v>463</v>
      </c>
      <c r="B27" s="6" t="s">
        <v>464</v>
      </c>
      <c r="C27" s="9" t="s">
        <v>186</v>
      </c>
      <c r="D27" s="73">
        <v>42.6</v>
      </c>
      <c r="E27" s="74">
        <f>E25</f>
        <v>1500</v>
      </c>
      <c r="F27" s="13">
        <f t="shared" si="0"/>
        <v>63900</v>
      </c>
      <c r="G27" s="6"/>
      <c r="H27" s="2"/>
    </row>
    <row r="28" spans="1:8" ht="39.6" outlineLevel="1" x14ac:dyDescent="0.25">
      <c r="A28" s="7" t="s">
        <v>465</v>
      </c>
      <c r="B28" s="6" t="s">
        <v>466</v>
      </c>
      <c r="C28" s="9" t="s">
        <v>460</v>
      </c>
      <c r="D28" s="73">
        <v>156</v>
      </c>
      <c r="E28" s="74">
        <v>250</v>
      </c>
      <c r="F28" s="13">
        <f t="shared" si="0"/>
        <v>39000</v>
      </c>
      <c r="G28" s="6"/>
      <c r="H28" s="3"/>
    </row>
    <row r="29" spans="1:8" ht="26.4" outlineLevel="1" x14ac:dyDescent="0.25">
      <c r="A29" s="7" t="s">
        <v>467</v>
      </c>
      <c r="B29" s="6" t="s">
        <v>468</v>
      </c>
      <c r="C29" s="9" t="s">
        <v>460</v>
      </c>
      <c r="D29" s="73">
        <v>217</v>
      </c>
      <c r="E29" s="74">
        <f>E28</f>
        <v>250</v>
      </c>
      <c r="F29" s="13">
        <f t="shared" si="0"/>
        <v>54250</v>
      </c>
      <c r="G29" s="6"/>
      <c r="H29" s="1"/>
    </row>
    <row r="30" spans="1:8" outlineLevel="1" x14ac:dyDescent="0.25">
      <c r="A30" s="7" t="s">
        <v>469</v>
      </c>
      <c r="B30" s="6" t="s">
        <v>470</v>
      </c>
      <c r="C30" s="9" t="s">
        <v>186</v>
      </c>
      <c r="D30" s="13" t="s">
        <v>471</v>
      </c>
      <c r="E30" s="74">
        <v>130</v>
      </c>
      <c r="F30" s="13" t="e">
        <f t="shared" si="0"/>
        <v>#VALUE!</v>
      </c>
      <c r="G30" s="6"/>
      <c r="H30" s="2"/>
    </row>
    <row r="31" spans="1:8" ht="26.4" outlineLevel="1" x14ac:dyDescent="0.25">
      <c r="A31" s="7" t="s">
        <v>472</v>
      </c>
      <c r="B31" s="6" t="s">
        <v>473</v>
      </c>
      <c r="C31" s="9" t="s">
        <v>460</v>
      </c>
      <c r="D31" s="73">
        <v>33</v>
      </c>
      <c r="E31" s="74">
        <v>1200</v>
      </c>
      <c r="F31" s="13">
        <f t="shared" si="0"/>
        <v>39600</v>
      </c>
      <c r="G31" s="6"/>
      <c r="H31" s="1"/>
    </row>
    <row r="32" spans="1:8" ht="26.4" outlineLevel="1" x14ac:dyDescent="0.25">
      <c r="A32" s="7" t="s">
        <v>474</v>
      </c>
      <c r="B32" s="6" t="s">
        <v>475</v>
      </c>
      <c r="C32" s="9" t="s">
        <v>460</v>
      </c>
      <c r="D32" s="73">
        <v>15</v>
      </c>
      <c r="E32" s="74">
        <f>E31</f>
        <v>1200</v>
      </c>
      <c r="F32" s="13">
        <f t="shared" si="0"/>
        <v>18000</v>
      </c>
      <c r="G32" s="6"/>
      <c r="H32" s="1"/>
    </row>
    <row r="33" spans="1:8" outlineLevel="1" x14ac:dyDescent="0.25">
      <c r="A33" s="7" t="s">
        <v>476</v>
      </c>
      <c r="B33" s="6" t="s">
        <v>477</v>
      </c>
      <c r="C33" s="9" t="s">
        <v>460</v>
      </c>
      <c r="D33" s="73">
        <v>15</v>
      </c>
      <c r="E33" s="74">
        <f>E31</f>
        <v>1200</v>
      </c>
      <c r="F33" s="13">
        <f t="shared" si="0"/>
        <v>18000</v>
      </c>
      <c r="G33" s="6"/>
      <c r="H33" s="2"/>
    </row>
    <row r="34" spans="1:8" ht="26.4" outlineLevel="1" x14ac:dyDescent="0.25">
      <c r="A34" s="7" t="s">
        <v>478</v>
      </c>
      <c r="B34" s="6" t="s">
        <v>479</v>
      </c>
      <c r="C34" s="9" t="s">
        <v>460</v>
      </c>
      <c r="D34" s="73">
        <v>15</v>
      </c>
      <c r="E34" s="74">
        <f>E31</f>
        <v>1200</v>
      </c>
      <c r="F34" s="13">
        <f t="shared" si="0"/>
        <v>18000</v>
      </c>
      <c r="G34" s="6"/>
      <c r="H34" s="1"/>
    </row>
    <row r="35" spans="1:8" x14ac:dyDescent="0.25">
      <c r="A35" s="70"/>
      <c r="B35" s="14" t="s">
        <v>29</v>
      </c>
      <c r="C35" s="70"/>
      <c r="D35" s="75"/>
      <c r="E35" s="76"/>
      <c r="F35" s="35" t="e">
        <f>SUM(F36:F79)</f>
        <v>#VALUE!</v>
      </c>
      <c r="G35" s="70"/>
      <c r="H35" s="2"/>
    </row>
    <row r="36" spans="1:8" ht="30" customHeight="1" outlineLevel="1" x14ac:dyDescent="0.25">
      <c r="A36" s="7" t="s">
        <v>480</v>
      </c>
      <c r="B36" s="43" t="s">
        <v>481</v>
      </c>
      <c r="C36" s="39" t="s">
        <v>186</v>
      </c>
      <c r="D36" s="40">
        <v>71</v>
      </c>
      <c r="E36" s="41">
        <v>250</v>
      </c>
      <c r="F36" s="13">
        <f t="shared" si="0"/>
        <v>17750</v>
      </c>
      <c r="G36" s="43"/>
      <c r="H36" s="2"/>
    </row>
    <row r="37" spans="1:8" ht="26.4" outlineLevel="1" x14ac:dyDescent="0.25">
      <c r="A37" s="7" t="s">
        <v>482</v>
      </c>
      <c r="B37" s="43" t="s">
        <v>483</v>
      </c>
      <c r="C37" s="39" t="s">
        <v>186</v>
      </c>
      <c r="D37" s="40">
        <v>71</v>
      </c>
      <c r="E37" s="41">
        <f>E36</f>
        <v>250</v>
      </c>
      <c r="F37" s="13">
        <f t="shared" si="0"/>
        <v>17750</v>
      </c>
      <c r="G37" s="43"/>
      <c r="H37" s="2"/>
    </row>
    <row r="38" spans="1:8" ht="26.4" outlineLevel="1" x14ac:dyDescent="0.25">
      <c r="A38" s="7" t="s">
        <v>484</v>
      </c>
      <c r="B38" s="43" t="s">
        <v>36</v>
      </c>
      <c r="C38" s="44" t="s">
        <v>223</v>
      </c>
      <c r="D38" s="42">
        <v>4.0999999999999996</v>
      </c>
      <c r="E38" s="41">
        <v>2500</v>
      </c>
      <c r="F38" s="13">
        <f t="shared" si="0"/>
        <v>10250</v>
      </c>
      <c r="G38" s="6"/>
      <c r="H38" s="1"/>
    </row>
    <row r="39" spans="1:8" outlineLevel="1" x14ac:dyDescent="0.25">
      <c r="A39" s="7" t="s">
        <v>485</v>
      </c>
      <c r="B39" s="43" t="s">
        <v>486</v>
      </c>
      <c r="C39" s="44" t="s">
        <v>186</v>
      </c>
      <c r="D39" s="42">
        <v>11.3</v>
      </c>
      <c r="E39" s="41">
        <v>300</v>
      </c>
      <c r="F39" s="13">
        <f t="shared" si="0"/>
        <v>3390</v>
      </c>
      <c r="G39" s="6"/>
      <c r="H39" s="2"/>
    </row>
    <row r="40" spans="1:8" ht="26.4" outlineLevel="1" x14ac:dyDescent="0.25">
      <c r="A40" s="7" t="s">
        <v>487</v>
      </c>
      <c r="B40" s="43" t="s">
        <v>488</v>
      </c>
      <c r="C40" s="44" t="s">
        <v>186</v>
      </c>
      <c r="D40" s="42">
        <v>1.9</v>
      </c>
      <c r="E40" s="41">
        <v>2500</v>
      </c>
      <c r="F40" s="13">
        <f t="shared" si="0"/>
        <v>4750</v>
      </c>
      <c r="G40" s="6"/>
      <c r="H40" s="1"/>
    </row>
    <row r="41" spans="1:8" ht="27" customHeight="1" outlineLevel="1" x14ac:dyDescent="0.25">
      <c r="A41" s="7" t="s">
        <v>489</v>
      </c>
      <c r="B41" s="43" t="s">
        <v>490</v>
      </c>
      <c r="C41" s="44" t="s">
        <v>491</v>
      </c>
      <c r="D41" s="42">
        <v>1</v>
      </c>
      <c r="E41" s="41">
        <v>5000</v>
      </c>
      <c r="F41" s="13">
        <f t="shared" si="0"/>
        <v>5000</v>
      </c>
      <c r="G41" s="6"/>
      <c r="H41" s="1"/>
    </row>
    <row r="42" spans="1:8" ht="26.4" outlineLevel="1" x14ac:dyDescent="0.25">
      <c r="A42" s="7" t="s">
        <v>492</v>
      </c>
      <c r="B42" s="43" t="s">
        <v>493</v>
      </c>
      <c r="C42" s="44" t="s">
        <v>186</v>
      </c>
      <c r="D42" s="42">
        <v>786.3</v>
      </c>
      <c r="E42" s="41">
        <v>250</v>
      </c>
      <c r="F42" s="13">
        <f t="shared" si="0"/>
        <v>196575</v>
      </c>
      <c r="G42" s="6"/>
      <c r="H42" s="1"/>
    </row>
    <row r="43" spans="1:8" outlineLevel="1" x14ac:dyDescent="0.25">
      <c r="A43" s="7" t="s">
        <v>494</v>
      </c>
      <c r="B43" s="43" t="s">
        <v>495</v>
      </c>
      <c r="C43" s="44" t="s">
        <v>186</v>
      </c>
      <c r="D43" s="45" t="s">
        <v>496</v>
      </c>
      <c r="E43" s="41">
        <f>E42</f>
        <v>250</v>
      </c>
      <c r="F43" s="13" t="e">
        <f t="shared" si="0"/>
        <v>#VALUE!</v>
      </c>
      <c r="G43" s="6"/>
      <c r="H43" s="2"/>
    </row>
    <row r="44" spans="1:8" outlineLevel="1" x14ac:dyDescent="0.25">
      <c r="A44" s="7" t="s">
        <v>497</v>
      </c>
      <c r="B44" s="43" t="s">
        <v>498</v>
      </c>
      <c r="C44" s="44" t="s">
        <v>186</v>
      </c>
      <c r="D44" s="45" t="s">
        <v>496</v>
      </c>
      <c r="E44" s="41">
        <v>120</v>
      </c>
      <c r="F44" s="13" t="e">
        <f t="shared" si="0"/>
        <v>#VALUE!</v>
      </c>
      <c r="G44" s="6"/>
      <c r="H44" s="2"/>
    </row>
    <row r="45" spans="1:8" outlineLevel="1" x14ac:dyDescent="0.25">
      <c r="A45" s="7" t="s">
        <v>499</v>
      </c>
      <c r="B45" s="43" t="s">
        <v>500</v>
      </c>
      <c r="C45" s="44" t="s">
        <v>186</v>
      </c>
      <c r="D45" s="45" t="s">
        <v>496</v>
      </c>
      <c r="E45" s="41">
        <v>120</v>
      </c>
      <c r="F45" s="13" t="e">
        <f t="shared" si="0"/>
        <v>#VALUE!</v>
      </c>
      <c r="G45" s="6"/>
      <c r="H45" s="2"/>
    </row>
    <row r="46" spans="1:8" ht="26.4" outlineLevel="1" x14ac:dyDescent="0.25">
      <c r="A46" s="7" t="s">
        <v>501</v>
      </c>
      <c r="B46" s="43" t="s">
        <v>502</v>
      </c>
      <c r="C46" s="44" t="s">
        <v>186</v>
      </c>
      <c r="D46" s="40">
        <f>15.5+16.8+8.9+2.4+3</f>
        <v>46.599999999999994</v>
      </c>
      <c r="E46" s="41">
        <v>2300</v>
      </c>
      <c r="F46" s="13">
        <f t="shared" si="0"/>
        <v>107179.99999999999</v>
      </c>
      <c r="G46" s="6"/>
      <c r="H46" s="1"/>
    </row>
    <row r="47" spans="1:8" outlineLevel="1" x14ac:dyDescent="0.25">
      <c r="A47" s="7" t="s">
        <v>503</v>
      </c>
      <c r="B47" s="43" t="s">
        <v>504</v>
      </c>
      <c r="C47" s="44" t="s">
        <v>186</v>
      </c>
      <c r="D47" s="42">
        <v>914.57500000000005</v>
      </c>
      <c r="E47" s="41">
        <v>180</v>
      </c>
      <c r="F47" s="13">
        <f t="shared" si="0"/>
        <v>164623.5</v>
      </c>
      <c r="G47" s="6"/>
      <c r="H47" s="2"/>
    </row>
    <row r="48" spans="1:8" outlineLevel="1" x14ac:dyDescent="0.25">
      <c r="A48" s="7" t="s">
        <v>505</v>
      </c>
      <c r="B48" s="43" t="s">
        <v>506</v>
      </c>
      <c r="C48" s="44" t="s">
        <v>186</v>
      </c>
      <c r="D48" s="42">
        <v>31</v>
      </c>
      <c r="E48" s="41">
        <v>180</v>
      </c>
      <c r="F48" s="13">
        <f t="shared" ref="F48" si="1">D48*E48</f>
        <v>5580</v>
      </c>
      <c r="G48" s="6"/>
      <c r="H48" s="2"/>
    </row>
    <row r="49" spans="1:8" outlineLevel="1" x14ac:dyDescent="0.25">
      <c r="A49" s="7" t="s">
        <v>507</v>
      </c>
      <c r="B49" s="43" t="s">
        <v>508</v>
      </c>
      <c r="C49" s="44" t="s">
        <v>186</v>
      </c>
      <c r="D49" s="45" t="s">
        <v>509</v>
      </c>
      <c r="E49" s="41">
        <v>230</v>
      </c>
      <c r="F49" s="13" t="e">
        <f t="shared" si="0"/>
        <v>#VALUE!</v>
      </c>
      <c r="G49" s="6"/>
      <c r="H49" s="2"/>
    </row>
    <row r="50" spans="1:8" outlineLevel="1" x14ac:dyDescent="0.25">
      <c r="A50" s="7" t="s">
        <v>510</v>
      </c>
      <c r="B50" s="6" t="s">
        <v>511</v>
      </c>
      <c r="C50" s="9" t="s">
        <v>186</v>
      </c>
      <c r="D50" s="73">
        <v>577</v>
      </c>
      <c r="E50" s="74">
        <v>230</v>
      </c>
      <c r="F50" s="13">
        <f t="shared" si="0"/>
        <v>132710</v>
      </c>
      <c r="G50" s="6"/>
      <c r="H50" s="2"/>
    </row>
    <row r="51" spans="1:8" ht="26.4" outlineLevel="1" x14ac:dyDescent="0.25">
      <c r="A51" s="7" t="s">
        <v>512</v>
      </c>
      <c r="B51" s="6" t="s">
        <v>513</v>
      </c>
      <c r="C51" s="9" t="s">
        <v>186</v>
      </c>
      <c r="D51" s="73">
        <v>84</v>
      </c>
      <c r="E51" s="74">
        <v>340</v>
      </c>
      <c r="F51" s="13">
        <f t="shared" si="0"/>
        <v>28560</v>
      </c>
      <c r="G51" s="6"/>
      <c r="H51" s="1"/>
    </row>
    <row r="52" spans="1:8" ht="39.6" outlineLevel="1" x14ac:dyDescent="0.25">
      <c r="A52" s="7" t="s">
        <v>514</v>
      </c>
      <c r="B52" s="6" t="s">
        <v>515</v>
      </c>
      <c r="C52" s="9" t="s">
        <v>186</v>
      </c>
      <c r="D52" s="73">
        <v>17.5</v>
      </c>
      <c r="E52" s="74">
        <f>E51</f>
        <v>340</v>
      </c>
      <c r="F52" s="13">
        <f t="shared" si="0"/>
        <v>5950</v>
      </c>
      <c r="G52" s="6"/>
      <c r="H52" s="3"/>
    </row>
    <row r="53" spans="1:8" ht="26.4" outlineLevel="1" x14ac:dyDescent="0.25">
      <c r="A53" s="7" t="s">
        <v>516</v>
      </c>
      <c r="B53" s="6" t="s">
        <v>517</v>
      </c>
      <c r="C53" s="9" t="s">
        <v>186</v>
      </c>
      <c r="D53" s="73">
        <v>103.9</v>
      </c>
      <c r="E53" s="74">
        <v>210</v>
      </c>
      <c r="F53" s="13">
        <f t="shared" si="0"/>
        <v>21819</v>
      </c>
      <c r="G53" s="6"/>
      <c r="H53" s="1"/>
    </row>
    <row r="54" spans="1:8" ht="15" customHeight="1" outlineLevel="1" x14ac:dyDescent="0.25">
      <c r="A54" s="7" t="s">
        <v>518</v>
      </c>
      <c r="B54" s="6" t="s">
        <v>519</v>
      </c>
      <c r="C54" s="9" t="s">
        <v>223</v>
      </c>
      <c r="D54" s="73">
        <v>2.2000000000000002</v>
      </c>
      <c r="E54" s="74">
        <v>3500</v>
      </c>
      <c r="F54" s="13">
        <f t="shared" si="0"/>
        <v>7700.0000000000009</v>
      </c>
      <c r="G54" s="6"/>
    </row>
    <row r="55" spans="1:8" ht="15.6" customHeight="1" outlineLevel="1" x14ac:dyDescent="0.25">
      <c r="A55" s="7" t="s">
        <v>520</v>
      </c>
      <c r="B55" s="6" t="s">
        <v>521</v>
      </c>
      <c r="C55" s="9" t="s">
        <v>522</v>
      </c>
      <c r="D55" s="73">
        <v>430</v>
      </c>
      <c r="E55" s="74">
        <v>1300</v>
      </c>
      <c r="F55" s="13">
        <f t="shared" si="0"/>
        <v>559000</v>
      </c>
      <c r="G55" s="6"/>
    </row>
    <row r="56" spans="1:8" ht="15.6" customHeight="1" outlineLevel="1" x14ac:dyDescent="0.25">
      <c r="A56" s="7" t="s">
        <v>523</v>
      </c>
      <c r="B56" s="6" t="s">
        <v>524</v>
      </c>
      <c r="C56" s="9" t="s">
        <v>522</v>
      </c>
      <c r="D56" s="73">
        <v>104</v>
      </c>
      <c r="E56" s="74">
        <f>E55</f>
        <v>1300</v>
      </c>
      <c r="F56" s="13">
        <f t="shared" si="0"/>
        <v>135200</v>
      </c>
      <c r="G56" s="6"/>
    </row>
    <row r="57" spans="1:8" ht="26.4" outlineLevel="1" x14ac:dyDescent="0.25">
      <c r="A57" s="7" t="s">
        <v>525</v>
      </c>
      <c r="B57" s="6" t="s">
        <v>526</v>
      </c>
      <c r="C57" s="9" t="s">
        <v>186</v>
      </c>
      <c r="D57" s="73">
        <v>206.3</v>
      </c>
      <c r="E57" s="74">
        <f>E55</f>
        <v>1300</v>
      </c>
      <c r="F57" s="13">
        <f t="shared" si="0"/>
        <v>268190</v>
      </c>
      <c r="G57" s="6"/>
    </row>
    <row r="58" spans="1:8" ht="26.4" outlineLevel="1" x14ac:dyDescent="0.25">
      <c r="A58" s="7" t="s">
        <v>527</v>
      </c>
      <c r="B58" s="6" t="s">
        <v>528</v>
      </c>
      <c r="C58" s="9" t="s">
        <v>186</v>
      </c>
      <c r="D58" s="73">
        <v>28</v>
      </c>
      <c r="E58" s="74">
        <f>E57</f>
        <v>1300</v>
      </c>
      <c r="F58" s="13">
        <f t="shared" si="0"/>
        <v>36400</v>
      </c>
      <c r="G58" s="6"/>
    </row>
    <row r="59" spans="1:8" outlineLevel="1" x14ac:dyDescent="0.25">
      <c r="A59" s="7" t="s">
        <v>529</v>
      </c>
      <c r="B59" s="6" t="s">
        <v>530</v>
      </c>
      <c r="C59" s="9" t="s">
        <v>186</v>
      </c>
      <c r="D59" s="73">
        <v>61.4</v>
      </c>
      <c r="E59" s="74">
        <f>E52</f>
        <v>340</v>
      </c>
      <c r="F59" s="13">
        <f t="shared" si="0"/>
        <v>20876</v>
      </c>
      <c r="G59" s="6"/>
    </row>
    <row r="60" spans="1:8" outlineLevel="1" x14ac:dyDescent="0.25">
      <c r="A60" s="7" t="s">
        <v>531</v>
      </c>
      <c r="B60" s="6" t="s">
        <v>69</v>
      </c>
      <c r="C60" s="9" t="s">
        <v>532</v>
      </c>
      <c r="D60" s="73">
        <v>167</v>
      </c>
      <c r="E60" s="74">
        <v>230</v>
      </c>
      <c r="F60" s="13">
        <f t="shared" si="0"/>
        <v>38410</v>
      </c>
      <c r="G60" s="6"/>
    </row>
    <row r="61" spans="1:8" ht="26.4" customHeight="1" outlineLevel="1" x14ac:dyDescent="0.25">
      <c r="A61" s="7" t="s">
        <v>533</v>
      </c>
      <c r="B61" s="6" t="s">
        <v>534</v>
      </c>
      <c r="C61" s="9" t="s">
        <v>186</v>
      </c>
      <c r="D61" s="73">
        <v>46</v>
      </c>
      <c r="E61" s="74">
        <v>460</v>
      </c>
      <c r="F61" s="13">
        <f t="shared" si="0"/>
        <v>21160</v>
      </c>
      <c r="G61" s="6"/>
    </row>
    <row r="62" spans="1:8" ht="27" customHeight="1" outlineLevel="1" x14ac:dyDescent="0.25">
      <c r="A62" s="7" t="s">
        <v>535</v>
      </c>
      <c r="B62" s="6" t="s">
        <v>536</v>
      </c>
      <c r="C62" s="9" t="s">
        <v>186</v>
      </c>
      <c r="D62" s="73">
        <v>78</v>
      </c>
      <c r="E62" s="74">
        <f>E61</f>
        <v>460</v>
      </c>
      <c r="F62" s="13">
        <f t="shared" si="0"/>
        <v>35880</v>
      </c>
      <c r="G62" s="6"/>
    </row>
    <row r="63" spans="1:8" ht="26.4" outlineLevel="1" x14ac:dyDescent="0.25">
      <c r="A63" s="7" t="s">
        <v>537</v>
      </c>
      <c r="B63" s="6" t="s">
        <v>538</v>
      </c>
      <c r="C63" s="9" t="s">
        <v>522</v>
      </c>
      <c r="D63" s="73">
        <v>536.70000000000005</v>
      </c>
      <c r="E63" s="74">
        <v>280</v>
      </c>
      <c r="F63" s="13">
        <f t="shared" si="0"/>
        <v>150276</v>
      </c>
      <c r="G63" s="6"/>
    </row>
    <row r="64" spans="1:8" outlineLevel="1" x14ac:dyDescent="0.25">
      <c r="A64" s="7" t="s">
        <v>539</v>
      </c>
      <c r="B64" s="6" t="s">
        <v>540</v>
      </c>
      <c r="C64" s="9" t="s">
        <v>457</v>
      </c>
      <c r="D64" s="73">
        <v>505</v>
      </c>
      <c r="E64" s="74">
        <v>50</v>
      </c>
      <c r="F64" s="13">
        <f t="shared" si="0"/>
        <v>25250</v>
      </c>
      <c r="G64" s="6"/>
    </row>
    <row r="65" spans="1:7" ht="26.4" outlineLevel="1" x14ac:dyDescent="0.25">
      <c r="A65" s="7" t="s">
        <v>541</v>
      </c>
      <c r="B65" s="6" t="s">
        <v>542</v>
      </c>
      <c r="C65" s="9" t="s">
        <v>522</v>
      </c>
      <c r="D65" s="73">
        <v>354.2</v>
      </c>
      <c r="E65" s="74">
        <v>400</v>
      </c>
      <c r="F65" s="13">
        <f t="shared" si="0"/>
        <v>141680</v>
      </c>
      <c r="G65" s="6"/>
    </row>
    <row r="66" spans="1:7" ht="26.4" outlineLevel="1" x14ac:dyDescent="0.25">
      <c r="A66" s="7" t="s">
        <v>543</v>
      </c>
      <c r="B66" s="6" t="s">
        <v>544</v>
      </c>
      <c r="C66" s="9" t="s">
        <v>522</v>
      </c>
      <c r="D66" s="73">
        <v>104</v>
      </c>
      <c r="E66" s="74">
        <v>350</v>
      </c>
      <c r="F66" s="13">
        <f t="shared" si="0"/>
        <v>36400</v>
      </c>
      <c r="G66" s="6"/>
    </row>
    <row r="67" spans="1:7" outlineLevel="1" x14ac:dyDescent="0.25">
      <c r="A67" s="7" t="s">
        <v>545</v>
      </c>
      <c r="B67" s="6" t="s">
        <v>75</v>
      </c>
      <c r="C67" s="9" t="s">
        <v>522</v>
      </c>
      <c r="D67" s="73">
        <v>568</v>
      </c>
      <c r="E67" s="74">
        <v>150</v>
      </c>
      <c r="F67" s="13">
        <f t="shared" si="0"/>
        <v>85200</v>
      </c>
      <c r="G67" s="6"/>
    </row>
    <row r="68" spans="1:7" ht="39.6" outlineLevel="1" x14ac:dyDescent="0.25">
      <c r="A68" s="7" t="s">
        <v>546</v>
      </c>
      <c r="B68" s="6" t="s">
        <v>547</v>
      </c>
      <c r="C68" s="9" t="s">
        <v>522</v>
      </c>
      <c r="D68" s="73">
        <v>55.8</v>
      </c>
      <c r="E68" s="74">
        <v>9725</v>
      </c>
      <c r="F68" s="13">
        <f t="shared" si="0"/>
        <v>542655</v>
      </c>
      <c r="G68" s="6"/>
    </row>
    <row r="69" spans="1:7" ht="39.6" outlineLevel="1" x14ac:dyDescent="0.25">
      <c r="A69" s="7" t="s">
        <v>549</v>
      </c>
      <c r="B69" s="6" t="s">
        <v>550</v>
      </c>
      <c r="C69" s="9" t="s">
        <v>186</v>
      </c>
      <c r="D69" s="73">
        <v>48.3</v>
      </c>
      <c r="E69" s="74">
        <f>E68</f>
        <v>9725</v>
      </c>
      <c r="F69" s="13">
        <f t="shared" si="0"/>
        <v>469717.5</v>
      </c>
      <c r="G69" s="6"/>
    </row>
    <row r="70" spans="1:7" ht="26.4" outlineLevel="1" x14ac:dyDescent="0.25">
      <c r="A70" s="7" t="s">
        <v>551</v>
      </c>
      <c r="B70" s="6" t="s">
        <v>552</v>
      </c>
      <c r="C70" s="9" t="s">
        <v>186</v>
      </c>
      <c r="D70" s="73">
        <v>7.6</v>
      </c>
      <c r="E70" s="74">
        <f>E68</f>
        <v>9725</v>
      </c>
      <c r="F70" s="13">
        <f t="shared" si="0"/>
        <v>73910</v>
      </c>
      <c r="G70" s="6"/>
    </row>
    <row r="71" spans="1:7" ht="26.4" outlineLevel="1" x14ac:dyDescent="0.25">
      <c r="A71" s="7" t="s">
        <v>553</v>
      </c>
      <c r="B71" s="6" t="s">
        <v>554</v>
      </c>
      <c r="C71" s="9" t="s">
        <v>186</v>
      </c>
      <c r="D71" s="73">
        <v>6.7</v>
      </c>
      <c r="E71" s="74">
        <f>E68</f>
        <v>9725</v>
      </c>
      <c r="F71" s="13">
        <f t="shared" si="0"/>
        <v>65157.5</v>
      </c>
      <c r="G71" s="6"/>
    </row>
    <row r="72" spans="1:7" ht="26.4" outlineLevel="1" x14ac:dyDescent="0.25">
      <c r="A72" s="7" t="s">
        <v>555</v>
      </c>
      <c r="B72" s="6" t="s">
        <v>556</v>
      </c>
      <c r="C72" s="9" t="s">
        <v>186</v>
      </c>
      <c r="D72" s="73">
        <v>74.099999999999994</v>
      </c>
      <c r="E72" s="74">
        <f>E68</f>
        <v>9725</v>
      </c>
      <c r="F72" s="13">
        <f t="shared" si="0"/>
        <v>720622.5</v>
      </c>
      <c r="G72" s="6"/>
    </row>
    <row r="73" spans="1:7" outlineLevel="1" x14ac:dyDescent="0.25">
      <c r="A73" s="7" t="s">
        <v>557</v>
      </c>
      <c r="B73" s="6" t="s">
        <v>558</v>
      </c>
      <c r="C73" s="9" t="s">
        <v>460</v>
      </c>
      <c r="D73" s="73">
        <v>36</v>
      </c>
      <c r="E73" s="74">
        <v>2000</v>
      </c>
      <c r="F73" s="13">
        <f t="shared" si="0"/>
        <v>72000</v>
      </c>
      <c r="G73" s="6"/>
    </row>
    <row r="74" spans="1:7" ht="25.2" customHeight="1" outlineLevel="1" x14ac:dyDescent="0.25">
      <c r="A74" s="7" t="s">
        <v>559</v>
      </c>
      <c r="B74" s="6" t="s">
        <v>560</v>
      </c>
      <c r="C74" s="9" t="s">
        <v>460</v>
      </c>
      <c r="D74" s="73">
        <v>24</v>
      </c>
      <c r="E74" s="74">
        <v>16500</v>
      </c>
      <c r="F74" s="13">
        <f t="shared" si="0"/>
        <v>396000</v>
      </c>
      <c r="G74" s="6"/>
    </row>
    <row r="75" spans="1:7" ht="30" customHeight="1" outlineLevel="1" x14ac:dyDescent="0.25">
      <c r="A75" s="7" t="s">
        <v>561</v>
      </c>
      <c r="B75" s="6" t="s">
        <v>562</v>
      </c>
      <c r="C75" s="9" t="s">
        <v>186</v>
      </c>
      <c r="D75" s="73">
        <v>12.7</v>
      </c>
      <c r="E75" s="74">
        <f>E72</f>
        <v>9725</v>
      </c>
      <c r="F75" s="13">
        <f t="shared" si="0"/>
        <v>123507.5</v>
      </c>
      <c r="G75" s="6"/>
    </row>
    <row r="76" spans="1:7" ht="26.4" outlineLevel="1" x14ac:dyDescent="0.25">
      <c r="A76" s="7" t="s">
        <v>563</v>
      </c>
      <c r="B76" s="6" t="s">
        <v>85</v>
      </c>
      <c r="C76" s="9" t="s">
        <v>457</v>
      </c>
      <c r="D76" s="73">
        <v>48.3</v>
      </c>
      <c r="E76" s="74">
        <v>450</v>
      </c>
      <c r="F76" s="13">
        <f t="shared" si="0"/>
        <v>21735</v>
      </c>
      <c r="G76" s="6"/>
    </row>
    <row r="77" spans="1:7" ht="39.6" outlineLevel="1" x14ac:dyDescent="0.25">
      <c r="A77" s="7" t="s">
        <v>564</v>
      </c>
      <c r="B77" s="6" t="s">
        <v>565</v>
      </c>
      <c r="C77" s="9" t="s">
        <v>186</v>
      </c>
      <c r="D77" s="73">
        <v>3.8</v>
      </c>
      <c r="E77" s="74">
        <v>1600</v>
      </c>
      <c r="F77" s="13">
        <f t="shared" si="0"/>
        <v>6080</v>
      </c>
      <c r="G77" s="6"/>
    </row>
    <row r="78" spans="1:7" ht="26.4" outlineLevel="1" x14ac:dyDescent="0.25">
      <c r="A78" s="7" t="s">
        <v>566</v>
      </c>
      <c r="B78" s="6" t="s">
        <v>567</v>
      </c>
      <c r="C78" s="9" t="s">
        <v>186</v>
      </c>
      <c r="D78" s="73">
        <v>5.4</v>
      </c>
      <c r="E78" s="74">
        <f>E58</f>
        <v>1300</v>
      </c>
      <c r="F78" s="13">
        <f t="shared" si="0"/>
        <v>7020.0000000000009</v>
      </c>
      <c r="G78" s="6"/>
    </row>
    <row r="79" spans="1:7" outlineLevel="1" x14ac:dyDescent="0.25">
      <c r="A79" s="7" t="s">
        <v>568</v>
      </c>
      <c r="B79" s="6" t="s">
        <v>569</v>
      </c>
      <c r="C79" s="9" t="s">
        <v>457</v>
      </c>
      <c r="D79" s="73">
        <v>43.2</v>
      </c>
      <c r="E79" s="74">
        <v>600</v>
      </c>
      <c r="F79" s="13">
        <f t="shared" si="0"/>
        <v>25920</v>
      </c>
      <c r="G79" s="6"/>
    </row>
    <row r="80" spans="1:7" x14ac:dyDescent="0.25">
      <c r="A80" s="70"/>
      <c r="B80" s="14" t="s">
        <v>570</v>
      </c>
      <c r="C80" s="70"/>
      <c r="D80" s="75"/>
      <c r="E80" s="76"/>
      <c r="F80" s="35">
        <f>SUM(F81:F101)</f>
        <v>579360</v>
      </c>
      <c r="G80" s="70"/>
    </row>
    <row r="81" spans="1:7" ht="42" customHeight="1" outlineLevel="1" x14ac:dyDescent="0.25">
      <c r="A81" s="7" t="s">
        <v>571</v>
      </c>
      <c r="B81" s="6" t="s">
        <v>572</v>
      </c>
      <c r="C81" s="39" t="s">
        <v>457</v>
      </c>
      <c r="D81" s="40">
        <v>400</v>
      </c>
      <c r="E81" s="41">
        <v>200</v>
      </c>
      <c r="F81" s="13">
        <f t="shared" si="0"/>
        <v>80000</v>
      </c>
      <c r="G81" s="6" t="s">
        <v>573</v>
      </c>
    </row>
    <row r="82" spans="1:7" ht="52.8" outlineLevel="1" x14ac:dyDescent="0.25">
      <c r="A82" s="7" t="s">
        <v>574</v>
      </c>
      <c r="B82" s="6" t="s">
        <v>575</v>
      </c>
      <c r="C82" s="39" t="s">
        <v>457</v>
      </c>
      <c r="D82" s="40">
        <v>200</v>
      </c>
      <c r="E82" s="41">
        <f>E81</f>
        <v>200</v>
      </c>
      <c r="F82" s="13">
        <f t="shared" si="0"/>
        <v>40000</v>
      </c>
      <c r="G82" s="6" t="s">
        <v>573</v>
      </c>
    </row>
    <row r="83" spans="1:7" ht="39.6" outlineLevel="1" x14ac:dyDescent="0.25">
      <c r="A83" s="7" t="s">
        <v>576</v>
      </c>
      <c r="B83" s="6" t="s">
        <v>577</v>
      </c>
      <c r="C83" s="39" t="s">
        <v>457</v>
      </c>
      <c r="D83" s="40">
        <v>80</v>
      </c>
      <c r="E83" s="41">
        <v>250</v>
      </c>
      <c r="F83" s="13">
        <f t="shared" si="0"/>
        <v>20000</v>
      </c>
      <c r="G83" s="6" t="s">
        <v>573</v>
      </c>
    </row>
    <row r="84" spans="1:7" ht="39.6" outlineLevel="1" x14ac:dyDescent="0.25">
      <c r="A84" s="7" t="s">
        <v>578</v>
      </c>
      <c r="B84" s="6" t="s">
        <v>579</v>
      </c>
      <c r="C84" s="39" t="s">
        <v>457</v>
      </c>
      <c r="D84" s="40">
        <v>150</v>
      </c>
      <c r="E84" s="41">
        <f>E83</f>
        <v>250</v>
      </c>
      <c r="F84" s="13">
        <f t="shared" si="0"/>
        <v>37500</v>
      </c>
      <c r="G84" s="6" t="s">
        <v>573</v>
      </c>
    </row>
    <row r="85" spans="1:7" ht="26.4" outlineLevel="1" x14ac:dyDescent="0.25">
      <c r="A85" s="7" t="s">
        <v>580</v>
      </c>
      <c r="B85" s="6" t="s">
        <v>581</v>
      </c>
      <c r="C85" s="39" t="s">
        <v>582</v>
      </c>
      <c r="D85" s="42">
        <v>24</v>
      </c>
      <c r="E85" s="41">
        <v>1950</v>
      </c>
      <c r="F85" s="13">
        <f t="shared" si="0"/>
        <v>46800</v>
      </c>
      <c r="G85" s="6"/>
    </row>
    <row r="86" spans="1:7" ht="14.4" customHeight="1" outlineLevel="1" x14ac:dyDescent="0.25">
      <c r="A86" s="7" t="s">
        <v>583</v>
      </c>
      <c r="B86" s="6" t="s">
        <v>584</v>
      </c>
      <c r="C86" s="7" t="s">
        <v>582</v>
      </c>
      <c r="D86" s="73">
        <v>15</v>
      </c>
      <c r="E86" s="74">
        <f>E85</f>
        <v>1950</v>
      </c>
      <c r="F86" s="13">
        <f t="shared" si="0"/>
        <v>29250</v>
      </c>
      <c r="G86" s="6"/>
    </row>
    <row r="87" spans="1:7" outlineLevel="1" x14ac:dyDescent="0.25">
      <c r="A87" s="7" t="s">
        <v>585</v>
      </c>
      <c r="B87" s="6" t="s">
        <v>586</v>
      </c>
      <c r="C87" s="7" t="s">
        <v>582</v>
      </c>
      <c r="D87" s="73">
        <v>24</v>
      </c>
      <c r="E87" s="74">
        <v>1700</v>
      </c>
      <c r="F87" s="13">
        <f t="shared" si="0"/>
        <v>40800</v>
      </c>
      <c r="G87" s="6"/>
    </row>
    <row r="88" spans="1:7" outlineLevel="1" x14ac:dyDescent="0.25">
      <c r="A88" s="7" t="s">
        <v>587</v>
      </c>
      <c r="B88" s="6" t="s">
        <v>588</v>
      </c>
      <c r="C88" s="7" t="s">
        <v>582</v>
      </c>
      <c r="D88" s="73">
        <v>24</v>
      </c>
      <c r="E88" s="74">
        <f>E86</f>
        <v>1950</v>
      </c>
      <c r="F88" s="13">
        <f t="shared" si="0"/>
        <v>46800</v>
      </c>
      <c r="G88" s="6"/>
    </row>
    <row r="89" spans="1:7" outlineLevel="1" x14ac:dyDescent="0.25">
      <c r="A89" s="7" t="s">
        <v>589</v>
      </c>
      <c r="B89" s="6" t="s">
        <v>590</v>
      </c>
      <c r="C89" s="7" t="s">
        <v>582</v>
      </c>
      <c r="D89" s="73">
        <v>18</v>
      </c>
      <c r="E89" s="74">
        <v>3000</v>
      </c>
      <c r="F89" s="13">
        <f t="shared" ref="F89:F119" si="2">D89*E89</f>
        <v>54000</v>
      </c>
      <c r="G89" s="6"/>
    </row>
    <row r="90" spans="1:7" outlineLevel="1" x14ac:dyDescent="0.25">
      <c r="A90" s="7" t="s">
        <v>591</v>
      </c>
      <c r="B90" s="6" t="s">
        <v>592</v>
      </c>
      <c r="C90" s="7" t="s">
        <v>582</v>
      </c>
      <c r="D90" s="73">
        <v>102</v>
      </c>
      <c r="E90" s="74">
        <v>380</v>
      </c>
      <c r="F90" s="13">
        <f t="shared" si="2"/>
        <v>38760</v>
      </c>
      <c r="G90" s="6" t="s">
        <v>573</v>
      </c>
    </row>
    <row r="91" spans="1:7" ht="26.4" outlineLevel="1" x14ac:dyDescent="0.25">
      <c r="A91" s="7" t="s">
        <v>593</v>
      </c>
      <c r="B91" s="6" t="s">
        <v>594</v>
      </c>
      <c r="C91" s="7" t="s">
        <v>460</v>
      </c>
      <c r="D91" s="73">
        <v>53</v>
      </c>
      <c r="E91" s="74">
        <v>1600</v>
      </c>
      <c r="F91" s="13">
        <f t="shared" si="2"/>
        <v>84800</v>
      </c>
      <c r="G91" s="6"/>
    </row>
    <row r="92" spans="1:7" outlineLevel="1" x14ac:dyDescent="0.25">
      <c r="A92" s="7" t="s">
        <v>595</v>
      </c>
      <c r="B92" s="6" t="s">
        <v>596</v>
      </c>
      <c r="C92" s="7" t="s">
        <v>460</v>
      </c>
      <c r="D92" s="73">
        <v>6</v>
      </c>
      <c r="E92" s="74">
        <v>4500</v>
      </c>
      <c r="F92" s="13">
        <f t="shared" si="2"/>
        <v>27000</v>
      </c>
      <c r="G92" s="6"/>
    </row>
    <row r="93" spans="1:7" ht="13.8" outlineLevel="1" x14ac:dyDescent="0.25">
      <c r="A93" s="7" t="s">
        <v>597</v>
      </c>
      <c r="B93" s="121" t="s">
        <v>598</v>
      </c>
      <c r="C93" s="48" t="s">
        <v>290</v>
      </c>
      <c r="D93" s="99">
        <v>22</v>
      </c>
      <c r="E93" s="122">
        <v>200</v>
      </c>
      <c r="F93" s="45">
        <f t="shared" si="2"/>
        <v>4400</v>
      </c>
      <c r="G93" s="6"/>
    </row>
    <row r="94" spans="1:7" ht="13.8" outlineLevel="1" x14ac:dyDescent="0.25">
      <c r="A94" s="7" t="s">
        <v>599</v>
      </c>
      <c r="B94" s="121" t="s">
        <v>600</v>
      </c>
      <c r="C94" s="48" t="s">
        <v>290</v>
      </c>
      <c r="D94" s="99">
        <v>17</v>
      </c>
      <c r="E94" s="122">
        <v>200</v>
      </c>
      <c r="F94" s="45">
        <f t="shared" si="2"/>
        <v>3400</v>
      </c>
      <c r="G94" s="6"/>
    </row>
    <row r="95" spans="1:7" ht="13.8" outlineLevel="1" x14ac:dyDescent="0.25">
      <c r="A95" s="7" t="s">
        <v>601</v>
      </c>
      <c r="B95" s="121" t="s">
        <v>602</v>
      </c>
      <c r="C95" s="48" t="s">
        <v>290</v>
      </c>
      <c r="D95" s="99">
        <v>20</v>
      </c>
      <c r="E95" s="122">
        <v>300</v>
      </c>
      <c r="F95" s="45">
        <f t="shared" si="2"/>
        <v>6000</v>
      </c>
      <c r="G95" s="6"/>
    </row>
    <row r="96" spans="1:7" ht="40.950000000000003" customHeight="1" outlineLevel="1" x14ac:dyDescent="0.25">
      <c r="A96" s="7" t="s">
        <v>603</v>
      </c>
      <c r="B96" s="121" t="s">
        <v>126</v>
      </c>
      <c r="C96" s="48" t="s">
        <v>460</v>
      </c>
      <c r="D96" s="99">
        <f>D87+D88</f>
        <v>48</v>
      </c>
      <c r="E96" s="123">
        <v>150</v>
      </c>
      <c r="F96" s="45">
        <f t="shared" si="2"/>
        <v>7200</v>
      </c>
      <c r="G96" s="6"/>
    </row>
    <row r="97" spans="1:10" ht="41.4" outlineLevel="1" x14ac:dyDescent="0.25">
      <c r="A97" s="7" t="s">
        <v>604</v>
      </c>
      <c r="B97" s="121" t="s">
        <v>605</v>
      </c>
      <c r="C97" s="48" t="s">
        <v>460</v>
      </c>
      <c r="D97" s="99">
        <v>12</v>
      </c>
      <c r="E97" s="123">
        <v>250</v>
      </c>
      <c r="F97" s="45">
        <f t="shared" si="2"/>
        <v>3000</v>
      </c>
      <c r="G97" s="6"/>
    </row>
    <row r="98" spans="1:10" ht="13.8" outlineLevel="1" x14ac:dyDescent="0.25">
      <c r="A98" s="7" t="s">
        <v>606</v>
      </c>
      <c r="B98" s="121" t="s">
        <v>607</v>
      </c>
      <c r="C98" s="48" t="s">
        <v>460</v>
      </c>
      <c r="D98" s="99">
        <v>2</v>
      </c>
      <c r="E98" s="123">
        <v>450</v>
      </c>
      <c r="F98" s="45">
        <f t="shared" si="2"/>
        <v>900</v>
      </c>
      <c r="G98" s="6"/>
    </row>
    <row r="99" spans="1:10" ht="27.6" outlineLevel="1" x14ac:dyDescent="0.25">
      <c r="A99" s="7" t="s">
        <v>608</v>
      </c>
      <c r="B99" s="121" t="s">
        <v>609</v>
      </c>
      <c r="C99" s="48" t="s">
        <v>460</v>
      </c>
      <c r="D99" s="99">
        <f>D85+D86</f>
        <v>39</v>
      </c>
      <c r="E99" s="123">
        <v>150</v>
      </c>
      <c r="F99" s="45">
        <f t="shared" si="2"/>
        <v>5850</v>
      </c>
      <c r="G99" s="6"/>
    </row>
    <row r="100" spans="1:10" ht="27.6" outlineLevel="1" x14ac:dyDescent="0.25">
      <c r="A100" s="7" t="s">
        <v>610</v>
      </c>
      <c r="B100" s="121" t="s">
        <v>611</v>
      </c>
      <c r="C100" s="48" t="s">
        <v>460</v>
      </c>
      <c r="D100" s="99">
        <v>24</v>
      </c>
      <c r="E100" s="123">
        <v>100</v>
      </c>
      <c r="F100" s="45">
        <f t="shared" si="2"/>
        <v>2400</v>
      </c>
      <c r="G100" s="6"/>
    </row>
    <row r="101" spans="1:10" ht="13.8" outlineLevel="1" x14ac:dyDescent="0.25">
      <c r="A101" s="7" t="s">
        <v>612</v>
      </c>
      <c r="B101" s="121" t="s">
        <v>613</v>
      </c>
      <c r="C101" s="48" t="s">
        <v>460</v>
      </c>
      <c r="D101" s="99">
        <v>1</v>
      </c>
      <c r="E101" s="123">
        <v>500</v>
      </c>
      <c r="F101" s="45">
        <f t="shared" si="2"/>
        <v>500</v>
      </c>
      <c r="G101" s="6"/>
    </row>
    <row r="102" spans="1:10" x14ac:dyDescent="0.25">
      <c r="A102" s="70"/>
      <c r="B102" s="14" t="s">
        <v>132</v>
      </c>
      <c r="C102" s="70"/>
      <c r="D102" s="75"/>
      <c r="E102" s="76"/>
      <c r="F102" s="35">
        <f>SUM(F103:F110)</f>
        <v>676050</v>
      </c>
      <c r="G102" s="70"/>
    </row>
    <row r="103" spans="1:10" ht="15.6" customHeight="1" outlineLevel="1" x14ac:dyDescent="0.25">
      <c r="A103" s="7" t="s">
        <v>614</v>
      </c>
      <c r="B103" s="6" t="s">
        <v>615</v>
      </c>
      <c r="C103" s="7" t="s">
        <v>616</v>
      </c>
      <c r="D103" s="73">
        <v>36</v>
      </c>
      <c r="E103" s="74">
        <v>200</v>
      </c>
      <c r="F103" s="13">
        <f t="shared" si="2"/>
        <v>7200</v>
      </c>
      <c r="G103" s="246" t="s">
        <v>617</v>
      </c>
    </row>
    <row r="104" spans="1:10" ht="26.4" outlineLevel="1" x14ac:dyDescent="0.25">
      <c r="A104" s="7" t="s">
        <v>618</v>
      </c>
      <c r="B104" s="6" t="s">
        <v>619</v>
      </c>
      <c r="C104" s="7" t="s">
        <v>616</v>
      </c>
      <c r="D104" s="73">
        <v>27</v>
      </c>
      <c r="E104" s="74">
        <v>150</v>
      </c>
      <c r="F104" s="13">
        <f t="shared" si="2"/>
        <v>4050</v>
      </c>
      <c r="G104" s="247"/>
    </row>
    <row r="105" spans="1:10" ht="26.4" outlineLevel="1" x14ac:dyDescent="0.25">
      <c r="A105" s="7" t="s">
        <v>620</v>
      </c>
      <c r="B105" s="6" t="s">
        <v>621</v>
      </c>
      <c r="C105" s="7" t="s">
        <v>616</v>
      </c>
      <c r="D105" s="73">
        <v>36</v>
      </c>
      <c r="E105" s="74">
        <f>E104</f>
        <v>150</v>
      </c>
      <c r="F105" s="13">
        <f t="shared" si="2"/>
        <v>5400</v>
      </c>
      <c r="G105" s="247"/>
    </row>
    <row r="106" spans="1:10" ht="26.4" outlineLevel="1" x14ac:dyDescent="0.25">
      <c r="A106" s="7" t="s">
        <v>622</v>
      </c>
      <c r="B106" s="6" t="s">
        <v>145</v>
      </c>
      <c r="C106" s="7" t="s">
        <v>616</v>
      </c>
      <c r="D106" s="73">
        <v>36</v>
      </c>
      <c r="E106" s="74">
        <v>500</v>
      </c>
      <c r="F106" s="13">
        <f t="shared" si="2"/>
        <v>18000</v>
      </c>
      <c r="G106" s="247"/>
    </row>
    <row r="107" spans="1:10" outlineLevel="1" x14ac:dyDescent="0.25">
      <c r="A107" s="7" t="s">
        <v>623</v>
      </c>
      <c r="B107" s="6" t="s">
        <v>624</v>
      </c>
      <c r="C107" s="7" t="s">
        <v>616</v>
      </c>
      <c r="D107" s="73">
        <v>30</v>
      </c>
      <c r="E107" s="74">
        <f>E106</f>
        <v>500</v>
      </c>
      <c r="F107" s="13">
        <f t="shared" si="2"/>
        <v>15000</v>
      </c>
      <c r="G107" s="247"/>
    </row>
    <row r="108" spans="1:10" ht="26.4" outlineLevel="1" x14ac:dyDescent="0.25">
      <c r="A108" s="7" t="s">
        <v>625</v>
      </c>
      <c r="B108" s="6" t="s">
        <v>626</v>
      </c>
      <c r="C108" s="7" t="s">
        <v>616</v>
      </c>
      <c r="D108" s="73">
        <v>33</v>
      </c>
      <c r="E108" s="74">
        <v>800</v>
      </c>
      <c r="F108" s="13">
        <f t="shared" si="2"/>
        <v>26400</v>
      </c>
      <c r="G108" s="248"/>
    </row>
    <row r="109" spans="1:10" ht="26.4" outlineLevel="1" x14ac:dyDescent="0.25">
      <c r="A109" s="7" t="s">
        <v>627</v>
      </c>
      <c r="B109" s="6" t="s">
        <v>628</v>
      </c>
      <c r="C109" s="7" t="s">
        <v>616</v>
      </c>
      <c r="D109" s="42">
        <v>3</v>
      </c>
      <c r="E109" s="41">
        <v>100000</v>
      </c>
      <c r="F109" s="45">
        <f t="shared" si="2"/>
        <v>300000</v>
      </c>
      <c r="G109" s="249" t="s">
        <v>629</v>
      </c>
      <c r="H109" s="223"/>
    </row>
    <row r="110" spans="1:10" ht="26.4" outlineLevel="1" x14ac:dyDescent="0.25">
      <c r="A110" s="7" t="s">
        <v>630</v>
      </c>
      <c r="B110" s="6" t="s">
        <v>631</v>
      </c>
      <c r="C110" s="7" t="s">
        <v>616</v>
      </c>
      <c r="D110" s="42">
        <v>3</v>
      </c>
      <c r="E110" s="41">
        <v>100000</v>
      </c>
      <c r="F110" s="47">
        <f t="shared" si="2"/>
        <v>300000</v>
      </c>
      <c r="G110" s="250"/>
    </row>
    <row r="111" spans="1:10" ht="63" customHeight="1" x14ac:dyDescent="0.25">
      <c r="A111" s="70"/>
      <c r="B111" s="251" t="s">
        <v>632</v>
      </c>
      <c r="C111" s="252"/>
      <c r="D111" s="252"/>
      <c r="E111" s="252"/>
      <c r="F111" s="33">
        <f>SUM(F112:F119)</f>
        <v>124800</v>
      </c>
      <c r="G111" s="77"/>
    </row>
    <row r="112" spans="1:10" outlineLevel="1" x14ac:dyDescent="0.25">
      <c r="A112" s="7" t="s">
        <v>633</v>
      </c>
      <c r="B112" s="6" t="s">
        <v>634</v>
      </c>
      <c r="C112" s="7" t="s">
        <v>616</v>
      </c>
      <c r="D112" s="73">
        <v>24</v>
      </c>
      <c r="E112" s="74">
        <v>1700</v>
      </c>
      <c r="F112" s="28">
        <f t="shared" si="2"/>
        <v>40800</v>
      </c>
      <c r="G112" s="230" t="s">
        <v>617</v>
      </c>
      <c r="I112" s="37"/>
      <c r="J112" s="37"/>
    </row>
    <row r="113" spans="1:7" outlineLevel="1" x14ac:dyDescent="0.25">
      <c r="A113" s="7" t="s">
        <v>635</v>
      </c>
      <c r="B113" s="6" t="s">
        <v>636</v>
      </c>
      <c r="C113" s="7" t="s">
        <v>616</v>
      </c>
      <c r="D113" s="73">
        <v>24</v>
      </c>
      <c r="E113" s="74">
        <v>1200</v>
      </c>
      <c r="F113" s="13">
        <f t="shared" si="2"/>
        <v>28800</v>
      </c>
      <c r="G113" s="231"/>
    </row>
    <row r="114" spans="1:7" outlineLevel="1" x14ac:dyDescent="0.25">
      <c r="A114" s="7" t="s">
        <v>637</v>
      </c>
      <c r="B114" s="6" t="s">
        <v>638</v>
      </c>
      <c r="C114" s="7" t="s">
        <v>616</v>
      </c>
      <c r="D114" s="73">
        <v>3</v>
      </c>
      <c r="E114" s="74">
        <v>4000</v>
      </c>
      <c r="F114" s="13">
        <f t="shared" si="2"/>
        <v>12000</v>
      </c>
      <c r="G114" s="231"/>
    </row>
    <row r="115" spans="1:7" outlineLevel="1" x14ac:dyDescent="0.25">
      <c r="A115" s="7" t="s">
        <v>639</v>
      </c>
      <c r="B115" s="6" t="s">
        <v>640</v>
      </c>
      <c r="C115" s="7" t="s">
        <v>616</v>
      </c>
      <c r="D115" s="73">
        <v>3</v>
      </c>
      <c r="E115" s="74">
        <v>3000</v>
      </c>
      <c r="F115" s="13">
        <f t="shared" si="2"/>
        <v>9000</v>
      </c>
      <c r="G115" s="231"/>
    </row>
    <row r="116" spans="1:7" outlineLevel="1" x14ac:dyDescent="0.25">
      <c r="A116" s="7" t="s">
        <v>641</v>
      </c>
      <c r="B116" s="6" t="s">
        <v>642</v>
      </c>
      <c r="C116" s="7" t="s">
        <v>616</v>
      </c>
      <c r="D116" s="73">
        <v>3</v>
      </c>
      <c r="E116" s="74">
        <v>1700</v>
      </c>
      <c r="F116" s="13">
        <f t="shared" si="2"/>
        <v>5100</v>
      </c>
      <c r="G116" s="231"/>
    </row>
    <row r="117" spans="1:7" outlineLevel="1" x14ac:dyDescent="0.25">
      <c r="A117" s="7" t="s">
        <v>643</v>
      </c>
      <c r="B117" s="6" t="s">
        <v>644</v>
      </c>
      <c r="C117" s="7" t="s">
        <v>616</v>
      </c>
      <c r="D117" s="73">
        <v>3</v>
      </c>
      <c r="E117" s="74">
        <v>1700</v>
      </c>
      <c r="F117" s="13">
        <f>D117*E117</f>
        <v>5100</v>
      </c>
      <c r="G117" s="231"/>
    </row>
    <row r="118" spans="1:7" outlineLevel="1" x14ac:dyDescent="0.25">
      <c r="A118" s="7" t="s">
        <v>645</v>
      </c>
      <c r="B118" s="6" t="s">
        <v>646</v>
      </c>
      <c r="C118" s="7" t="s">
        <v>616</v>
      </c>
      <c r="D118" s="73">
        <v>24</v>
      </c>
      <c r="E118" s="74">
        <v>500</v>
      </c>
      <c r="F118" s="13">
        <f t="shared" si="2"/>
        <v>12000</v>
      </c>
      <c r="G118" s="231"/>
    </row>
    <row r="119" spans="1:7" outlineLevel="1" x14ac:dyDescent="0.25">
      <c r="A119" s="7" t="s">
        <v>647</v>
      </c>
      <c r="B119" s="6" t="s">
        <v>648</v>
      </c>
      <c r="C119" s="7" t="s">
        <v>616</v>
      </c>
      <c r="D119" s="73">
        <v>24</v>
      </c>
      <c r="E119" s="74">
        <v>500</v>
      </c>
      <c r="F119" s="13">
        <f t="shared" si="2"/>
        <v>12000</v>
      </c>
      <c r="G119" s="231"/>
    </row>
    <row r="120" spans="1:7" ht="22.95" customHeight="1" x14ac:dyDescent="0.25">
      <c r="A120" s="7"/>
      <c r="B120" s="5" t="s">
        <v>649</v>
      </c>
      <c r="C120" s="6"/>
      <c r="D120" s="34"/>
      <c r="E120" s="32"/>
      <c r="F120" s="78" t="e">
        <f>F111+F102+F80+F35+F20</f>
        <v>#VALUE!</v>
      </c>
      <c r="G120" s="232"/>
    </row>
    <row r="121" spans="1:7" x14ac:dyDescent="0.25">
      <c r="A121" s="15" t="s">
        <v>433</v>
      </c>
      <c r="B121" s="36" t="s">
        <v>180</v>
      </c>
      <c r="C121" s="70"/>
      <c r="D121" s="70"/>
      <c r="E121" s="79"/>
      <c r="F121" s="80"/>
      <c r="G121" s="70"/>
    </row>
    <row r="122" spans="1:7" ht="25.95" customHeight="1" x14ac:dyDescent="0.25">
      <c r="A122" s="81"/>
      <c r="B122" s="233" t="s">
        <v>448</v>
      </c>
      <c r="C122" s="234"/>
      <c r="D122" s="234"/>
      <c r="E122" s="235"/>
      <c r="F122" s="59">
        <f>SUM(F123)</f>
        <v>300000</v>
      </c>
      <c r="G122" s="27"/>
    </row>
    <row r="123" spans="1:7" ht="30.6" outlineLevel="1" x14ac:dyDescent="0.25">
      <c r="A123" s="38" t="s">
        <v>650</v>
      </c>
      <c r="B123" s="18" t="s">
        <v>651</v>
      </c>
      <c r="C123" s="19"/>
      <c r="D123" s="82"/>
      <c r="E123" s="83"/>
      <c r="F123" s="58">
        <v>300000</v>
      </c>
      <c r="G123" s="25" t="s">
        <v>652</v>
      </c>
    </row>
    <row r="124" spans="1:7" x14ac:dyDescent="0.25">
      <c r="A124" s="84"/>
      <c r="B124" s="17" t="s">
        <v>29</v>
      </c>
      <c r="C124" s="85"/>
      <c r="D124" s="86"/>
      <c r="E124" s="86"/>
      <c r="F124" s="87">
        <f>SUM(F125:F190)</f>
        <v>15423898.633690227</v>
      </c>
      <c r="G124" s="85"/>
    </row>
    <row r="125" spans="1:7" outlineLevel="2" x14ac:dyDescent="0.25">
      <c r="A125" s="51" t="s">
        <v>654</v>
      </c>
      <c r="B125" s="6" t="s">
        <v>184</v>
      </c>
      <c r="C125" s="20" t="s">
        <v>186</v>
      </c>
      <c r="D125" s="88">
        <v>175.87900000000005</v>
      </c>
      <c r="E125" s="49">
        <v>850</v>
      </c>
      <c r="F125" s="13">
        <f>D125*E125</f>
        <v>149497.15000000005</v>
      </c>
      <c r="G125" s="18"/>
    </row>
    <row r="126" spans="1:7" outlineLevel="2" x14ac:dyDescent="0.25">
      <c r="A126" s="38" t="s">
        <v>655</v>
      </c>
      <c r="B126" s="6" t="s">
        <v>656</v>
      </c>
      <c r="C126" s="20" t="s">
        <v>460</v>
      </c>
      <c r="D126" s="88">
        <v>488</v>
      </c>
      <c r="E126" s="49">
        <v>1100</v>
      </c>
      <c r="F126" s="13">
        <f t="shared" ref="F126:F192" si="3">D126*E126</f>
        <v>536800</v>
      </c>
      <c r="G126" s="18"/>
    </row>
    <row r="127" spans="1:7" outlineLevel="2" x14ac:dyDescent="0.25">
      <c r="A127" s="38" t="s">
        <v>657</v>
      </c>
      <c r="B127" s="6" t="s">
        <v>188</v>
      </c>
      <c r="C127" s="20" t="s">
        <v>460</v>
      </c>
      <c r="D127" s="88">
        <v>41</v>
      </c>
      <c r="E127" s="49">
        <v>200</v>
      </c>
      <c r="F127" s="13">
        <f t="shared" si="3"/>
        <v>8200</v>
      </c>
      <c r="G127" s="18"/>
    </row>
    <row r="128" spans="1:7" outlineLevel="2" x14ac:dyDescent="0.25">
      <c r="A128" s="38" t="s">
        <v>658</v>
      </c>
      <c r="B128" s="6" t="s">
        <v>191</v>
      </c>
      <c r="C128" s="20" t="s">
        <v>460</v>
      </c>
      <c r="D128" s="88">
        <v>247</v>
      </c>
      <c r="E128" s="49">
        <v>150</v>
      </c>
      <c r="F128" s="13">
        <f t="shared" si="3"/>
        <v>37050</v>
      </c>
      <c r="G128" s="18"/>
    </row>
    <row r="129" spans="1:8" outlineLevel="2" x14ac:dyDescent="0.25">
      <c r="A129" s="38" t="s">
        <v>659</v>
      </c>
      <c r="B129" s="6" t="s">
        <v>194</v>
      </c>
      <c r="C129" s="20" t="s">
        <v>460</v>
      </c>
      <c r="D129" s="88">
        <v>247</v>
      </c>
      <c r="E129" s="49">
        <v>100</v>
      </c>
      <c r="F129" s="13">
        <f t="shared" si="3"/>
        <v>24700</v>
      </c>
      <c r="G129" s="18"/>
    </row>
    <row r="130" spans="1:8" outlineLevel="2" x14ac:dyDescent="0.25">
      <c r="A130" s="38" t="s">
        <v>660</v>
      </c>
      <c r="B130" s="6" t="s">
        <v>197</v>
      </c>
      <c r="C130" s="20" t="s">
        <v>460</v>
      </c>
      <c r="D130" s="88">
        <v>124</v>
      </c>
      <c r="E130" s="49">
        <v>10</v>
      </c>
      <c r="F130" s="13">
        <f t="shared" si="3"/>
        <v>1240</v>
      </c>
      <c r="G130" s="18"/>
    </row>
    <row r="131" spans="1:8" outlineLevel="2" x14ac:dyDescent="0.25">
      <c r="A131" s="38" t="s">
        <v>661</v>
      </c>
      <c r="B131" s="6" t="s">
        <v>662</v>
      </c>
      <c r="C131" s="20" t="s">
        <v>460</v>
      </c>
      <c r="D131" s="88">
        <v>30</v>
      </c>
      <c r="E131" s="49">
        <v>200</v>
      </c>
      <c r="F131" s="13">
        <f t="shared" si="3"/>
        <v>6000</v>
      </c>
      <c r="G131" s="18"/>
    </row>
    <row r="132" spans="1:8" outlineLevel="2" x14ac:dyDescent="0.25">
      <c r="A132" s="38" t="s">
        <v>663</v>
      </c>
      <c r="B132" s="6" t="s">
        <v>664</v>
      </c>
      <c r="C132" s="20" t="s">
        <v>665</v>
      </c>
      <c r="D132" s="88">
        <f>(D47*0.05)*1.1*0.21</f>
        <v>10.563341250000001</v>
      </c>
      <c r="E132" s="49">
        <v>11000</v>
      </c>
      <c r="F132" s="13">
        <f t="shared" si="3"/>
        <v>116196.75375</v>
      </c>
      <c r="G132" s="18"/>
    </row>
    <row r="133" spans="1:8" outlineLevel="2" x14ac:dyDescent="0.25">
      <c r="A133" s="38" t="s">
        <v>666</v>
      </c>
      <c r="B133" s="6" t="s">
        <v>667</v>
      </c>
      <c r="C133" s="20" t="s">
        <v>665</v>
      </c>
      <c r="D133" s="88">
        <f>(D47*0.05)*1.1*0.92</f>
        <v>46.277495000000009</v>
      </c>
      <c r="E133" s="49">
        <v>9000</v>
      </c>
      <c r="F133" s="13">
        <f t="shared" si="3"/>
        <v>416497.45500000007</v>
      </c>
      <c r="G133" s="18"/>
    </row>
    <row r="134" spans="1:8" ht="26.4" outlineLevel="2" x14ac:dyDescent="0.25">
      <c r="A134" s="38" t="s">
        <v>668</v>
      </c>
      <c r="B134" s="6" t="s">
        <v>669</v>
      </c>
      <c r="C134" s="20" t="s">
        <v>665</v>
      </c>
      <c r="D134" s="88">
        <f>(D47*0.05)*1.1*1.08</f>
        <v>54.325755000000015</v>
      </c>
      <c r="E134" s="49">
        <v>420</v>
      </c>
      <c r="F134" s="13">
        <f t="shared" si="3"/>
        <v>22816.817100000007</v>
      </c>
      <c r="G134" s="18"/>
    </row>
    <row r="135" spans="1:8" outlineLevel="2" x14ac:dyDescent="0.25">
      <c r="A135" s="38" t="s">
        <v>670</v>
      </c>
      <c r="B135" s="43" t="s">
        <v>671</v>
      </c>
      <c r="C135" s="20" t="s">
        <v>672</v>
      </c>
      <c r="D135" s="88">
        <f>D48*17</f>
        <v>527</v>
      </c>
      <c r="E135" s="49">
        <v>25</v>
      </c>
      <c r="F135" s="13">
        <f t="shared" si="3"/>
        <v>13175</v>
      </c>
      <c r="G135" s="18"/>
    </row>
    <row r="136" spans="1:8" outlineLevel="2" x14ac:dyDescent="0.25">
      <c r="A136" s="38" t="s">
        <v>673</v>
      </c>
      <c r="B136" s="6" t="s">
        <v>674</v>
      </c>
      <c r="C136" s="20" t="s">
        <v>672</v>
      </c>
      <c r="D136" s="88">
        <f>(D36+D53)*3.5</f>
        <v>612.15</v>
      </c>
      <c r="E136" s="49">
        <f>1800/25</f>
        <v>72</v>
      </c>
      <c r="F136" s="13">
        <f t="shared" si="3"/>
        <v>44074.799999999996</v>
      </c>
      <c r="G136" s="18"/>
    </row>
    <row r="137" spans="1:8" outlineLevel="2" x14ac:dyDescent="0.25">
      <c r="A137" s="38" t="s">
        <v>675</v>
      </c>
      <c r="B137" s="6" t="s">
        <v>676</v>
      </c>
      <c r="C137" s="20" t="s">
        <v>186</v>
      </c>
      <c r="D137" s="88">
        <v>78</v>
      </c>
      <c r="E137" s="49">
        <v>330</v>
      </c>
      <c r="F137" s="13">
        <f t="shared" si="3"/>
        <v>25740</v>
      </c>
      <c r="G137" s="18"/>
    </row>
    <row r="138" spans="1:8" ht="15" customHeight="1" outlineLevel="2" x14ac:dyDescent="0.25">
      <c r="A138" s="38" t="s">
        <v>677</v>
      </c>
      <c r="B138" s="6" t="s">
        <v>678</v>
      </c>
      <c r="C138" s="20" t="s">
        <v>672</v>
      </c>
      <c r="D138" s="88">
        <f>(D55+D56+D57+D58+D60*0.1)*8</f>
        <v>6280</v>
      </c>
      <c r="E138" s="49">
        <v>35</v>
      </c>
      <c r="F138" s="13">
        <f t="shared" si="3"/>
        <v>219800</v>
      </c>
      <c r="G138" s="18"/>
      <c r="H138" t="s">
        <v>916</v>
      </c>
    </row>
    <row r="139" spans="1:8" outlineLevel="2" x14ac:dyDescent="0.25">
      <c r="A139" s="38" t="s">
        <v>679</v>
      </c>
      <c r="B139" s="6" t="s">
        <v>210</v>
      </c>
      <c r="C139" s="20" t="s">
        <v>186</v>
      </c>
      <c r="D139" s="88">
        <v>731.16120000000012</v>
      </c>
      <c r="E139" s="49">
        <v>1300</v>
      </c>
      <c r="F139" s="13">
        <f t="shared" si="3"/>
        <v>950509.56000000017</v>
      </c>
      <c r="G139" s="18"/>
    </row>
    <row r="140" spans="1:8" outlineLevel="2" x14ac:dyDescent="0.25">
      <c r="A140" s="38" t="s">
        <v>680</v>
      </c>
      <c r="B140" s="6" t="s">
        <v>681</v>
      </c>
      <c r="C140" s="20" t="s">
        <v>186</v>
      </c>
      <c r="D140" s="88">
        <v>335</v>
      </c>
      <c r="E140" s="49">
        <v>1500</v>
      </c>
      <c r="F140" s="13">
        <f t="shared" si="3"/>
        <v>502500</v>
      </c>
      <c r="G140" s="18"/>
    </row>
    <row r="141" spans="1:8" ht="26.4" outlineLevel="2" x14ac:dyDescent="0.25">
      <c r="A141" s="38" t="s">
        <v>682</v>
      </c>
      <c r="B141" s="6" t="s">
        <v>683</v>
      </c>
      <c r="C141" s="20" t="s">
        <v>672</v>
      </c>
      <c r="D141" s="88">
        <v>336.97361666666677</v>
      </c>
      <c r="E141" s="49">
        <f>4750/14.72</f>
        <v>322.69021739130432</v>
      </c>
      <c r="F141" s="13">
        <f t="shared" si="3"/>
        <v>108738.08961730075</v>
      </c>
      <c r="G141" s="18"/>
      <c r="H141" t="s">
        <v>917</v>
      </c>
    </row>
    <row r="142" spans="1:8" outlineLevel="2" x14ac:dyDescent="0.25">
      <c r="A142" s="38" t="s">
        <v>684</v>
      </c>
      <c r="B142" s="6" t="s">
        <v>685</v>
      </c>
      <c r="C142" s="20" t="s">
        <v>672</v>
      </c>
      <c r="D142" s="88">
        <v>113</v>
      </c>
      <c r="E142" s="49">
        <v>190</v>
      </c>
      <c r="F142" s="13">
        <f t="shared" si="3"/>
        <v>21470</v>
      </c>
      <c r="G142" s="18"/>
    </row>
    <row r="143" spans="1:8" outlineLevel="2" x14ac:dyDescent="0.25">
      <c r="A143" s="38" t="s">
        <v>686</v>
      </c>
      <c r="B143" s="6" t="s">
        <v>687</v>
      </c>
      <c r="C143" s="20" t="s">
        <v>460</v>
      </c>
      <c r="D143" s="88">
        <v>644</v>
      </c>
      <c r="E143" s="49">
        <v>300</v>
      </c>
      <c r="F143" s="13">
        <f t="shared" si="3"/>
        <v>193200</v>
      </c>
      <c r="G143" s="18"/>
    </row>
    <row r="144" spans="1:8" outlineLevel="2" x14ac:dyDescent="0.25">
      <c r="A144" s="38" t="s">
        <v>688</v>
      </c>
      <c r="B144" s="6" t="s">
        <v>689</v>
      </c>
      <c r="C144" s="20" t="s">
        <v>223</v>
      </c>
      <c r="D144" s="88">
        <v>1.4</v>
      </c>
      <c r="E144" s="49">
        <v>780</v>
      </c>
      <c r="F144" s="13">
        <f t="shared" si="3"/>
        <v>1092</v>
      </c>
      <c r="G144" s="18"/>
    </row>
    <row r="145" spans="1:8" outlineLevel="2" x14ac:dyDescent="0.25">
      <c r="A145" s="38" t="s">
        <v>690</v>
      </c>
      <c r="B145" s="6" t="s">
        <v>691</v>
      </c>
      <c r="C145" s="20" t="s">
        <v>186</v>
      </c>
      <c r="D145" s="88">
        <v>52</v>
      </c>
      <c r="E145" s="49">
        <v>100</v>
      </c>
      <c r="F145" s="13">
        <f t="shared" si="3"/>
        <v>5200</v>
      </c>
      <c r="G145" s="18"/>
    </row>
    <row r="146" spans="1:8" outlineLevel="2" x14ac:dyDescent="0.25">
      <c r="A146" s="38" t="s">
        <v>692</v>
      </c>
      <c r="B146" s="6" t="s">
        <v>215</v>
      </c>
      <c r="C146" s="20" t="s">
        <v>223</v>
      </c>
      <c r="D146" s="88">
        <v>11.5</v>
      </c>
      <c r="E146" s="49">
        <v>15300</v>
      </c>
      <c r="F146" s="13">
        <f t="shared" si="3"/>
        <v>175950</v>
      </c>
      <c r="G146" s="18"/>
    </row>
    <row r="147" spans="1:8" ht="26.4" outlineLevel="2" x14ac:dyDescent="0.25">
      <c r="A147" s="38" t="s">
        <v>693</v>
      </c>
      <c r="B147" s="6" t="s">
        <v>218</v>
      </c>
      <c r="C147" s="20" t="s">
        <v>665</v>
      </c>
      <c r="D147" s="88">
        <v>0.9</v>
      </c>
      <c r="E147" s="49">
        <v>90000</v>
      </c>
      <c r="F147" s="13">
        <f t="shared" si="3"/>
        <v>81000</v>
      </c>
      <c r="G147" s="18"/>
    </row>
    <row r="148" spans="1:8" outlineLevel="2" x14ac:dyDescent="0.25">
      <c r="A148" s="38" t="s">
        <v>694</v>
      </c>
      <c r="B148" s="6" t="s">
        <v>221</v>
      </c>
      <c r="C148" s="20" t="s">
        <v>223</v>
      </c>
      <c r="D148" s="88">
        <v>2.6400000000000006</v>
      </c>
      <c r="E148" s="49">
        <v>3700</v>
      </c>
      <c r="F148" s="13">
        <f t="shared" si="3"/>
        <v>9768.0000000000018</v>
      </c>
      <c r="G148" s="18"/>
    </row>
    <row r="149" spans="1:8" outlineLevel="2" x14ac:dyDescent="0.25">
      <c r="A149" s="38" t="s">
        <v>695</v>
      </c>
      <c r="B149" s="6" t="s">
        <v>696</v>
      </c>
      <c r="C149" s="20" t="s">
        <v>186</v>
      </c>
      <c r="D149" s="88">
        <v>56.133000000000024</v>
      </c>
      <c r="E149" s="49">
        <f>1000*0.2</f>
        <v>200</v>
      </c>
      <c r="F149" s="13">
        <f t="shared" si="3"/>
        <v>11226.600000000004</v>
      </c>
      <c r="G149" s="18"/>
      <c r="H149" t="s">
        <v>916</v>
      </c>
    </row>
    <row r="150" spans="1:8" outlineLevel="2" x14ac:dyDescent="0.25">
      <c r="A150" s="38" t="s">
        <v>697</v>
      </c>
      <c r="B150" s="6" t="s">
        <v>698</v>
      </c>
      <c r="C150" s="20" t="s">
        <v>532</v>
      </c>
      <c r="D150" s="88">
        <v>14.701500000000003</v>
      </c>
      <c r="E150" s="49">
        <f>545*0.2/3</f>
        <v>36.333333333333336</v>
      </c>
      <c r="F150" s="13">
        <f t="shared" si="3"/>
        <v>534.1545000000001</v>
      </c>
      <c r="G150" s="18"/>
      <c r="H150" t="s">
        <v>916</v>
      </c>
    </row>
    <row r="151" spans="1:8" outlineLevel="2" x14ac:dyDescent="0.25">
      <c r="A151" s="38" t="s">
        <v>699</v>
      </c>
      <c r="B151" s="6" t="s">
        <v>700</v>
      </c>
      <c r="C151" s="20" t="s">
        <v>532</v>
      </c>
      <c r="D151" s="88">
        <v>26.730000000000008</v>
      </c>
      <c r="E151" s="49">
        <f>600*0.2/3</f>
        <v>40</v>
      </c>
      <c r="F151" s="13">
        <f t="shared" si="3"/>
        <v>1069.2000000000003</v>
      </c>
      <c r="G151" s="18"/>
      <c r="H151" t="s">
        <v>916</v>
      </c>
    </row>
    <row r="152" spans="1:8" outlineLevel="2" x14ac:dyDescent="0.25">
      <c r="A152" s="38" t="s">
        <v>701</v>
      </c>
      <c r="B152" s="6" t="s">
        <v>702</v>
      </c>
      <c r="C152" s="20" t="s">
        <v>460</v>
      </c>
      <c r="D152" s="88">
        <v>227.20500000000004</v>
      </c>
      <c r="E152" s="49">
        <v>5</v>
      </c>
      <c r="F152" s="13">
        <f t="shared" si="3"/>
        <v>1136.0250000000001</v>
      </c>
      <c r="G152" s="18"/>
    </row>
    <row r="153" spans="1:8" ht="26.4" outlineLevel="2" x14ac:dyDescent="0.25">
      <c r="A153" s="38" t="s">
        <v>703</v>
      </c>
      <c r="B153" s="6" t="s">
        <v>704</v>
      </c>
      <c r="C153" s="20" t="s">
        <v>532</v>
      </c>
      <c r="D153" s="88">
        <v>6.0142500000000014</v>
      </c>
      <c r="E153" s="49">
        <f>5439*0.2/25</f>
        <v>43.512</v>
      </c>
      <c r="F153" s="13">
        <f t="shared" si="3"/>
        <v>261.69204600000006</v>
      </c>
      <c r="G153" s="18"/>
    </row>
    <row r="154" spans="1:8" outlineLevel="2" x14ac:dyDescent="0.25">
      <c r="A154" s="38" t="s">
        <v>705</v>
      </c>
      <c r="B154" s="6" t="s">
        <v>706</v>
      </c>
      <c r="C154" s="20" t="s">
        <v>532</v>
      </c>
      <c r="D154" s="88">
        <v>14.701500000000003</v>
      </c>
      <c r="E154" s="49">
        <v>10</v>
      </c>
      <c r="F154" s="13">
        <f t="shared" si="3"/>
        <v>147.01500000000004</v>
      </c>
      <c r="G154" s="18"/>
    </row>
    <row r="155" spans="1:8" outlineLevel="2" x14ac:dyDescent="0.25">
      <c r="A155" s="38" t="s">
        <v>707</v>
      </c>
      <c r="B155" s="6" t="s">
        <v>708</v>
      </c>
      <c r="C155" s="20" t="s">
        <v>460</v>
      </c>
      <c r="D155" s="88">
        <v>21.384000000000007</v>
      </c>
      <c r="E155" s="49">
        <v>5</v>
      </c>
      <c r="F155" s="13">
        <f t="shared" si="3"/>
        <v>106.92000000000004</v>
      </c>
      <c r="G155" s="18"/>
    </row>
    <row r="156" spans="1:8" outlineLevel="2" x14ac:dyDescent="0.25">
      <c r="A156" s="38" t="s">
        <v>709</v>
      </c>
      <c r="B156" s="6" t="s">
        <v>710</v>
      </c>
      <c r="C156" s="20" t="s">
        <v>532</v>
      </c>
      <c r="D156" s="88">
        <v>16.038000000000004</v>
      </c>
      <c r="E156" s="49">
        <v>45</v>
      </c>
      <c r="F156" s="13">
        <f t="shared" si="3"/>
        <v>721.71000000000015</v>
      </c>
      <c r="G156" s="18"/>
    </row>
    <row r="157" spans="1:8" outlineLevel="2" x14ac:dyDescent="0.25">
      <c r="A157" s="38" t="s">
        <v>711</v>
      </c>
      <c r="B157" s="6" t="s">
        <v>712</v>
      </c>
      <c r="C157" s="20" t="s">
        <v>713</v>
      </c>
      <c r="D157" s="88">
        <v>1.3365000000000005</v>
      </c>
      <c r="E157" s="49">
        <f>3053.6*0.2*2/1.3</f>
        <v>939.56923076923078</v>
      </c>
      <c r="F157" s="13">
        <f t="shared" si="3"/>
        <v>1255.7342769230775</v>
      </c>
      <c r="G157" s="18"/>
      <c r="H157" t="s">
        <v>916</v>
      </c>
    </row>
    <row r="158" spans="1:8" outlineLevel="2" x14ac:dyDescent="0.25">
      <c r="A158" s="38" t="s">
        <v>714</v>
      </c>
      <c r="B158" s="6" t="s">
        <v>715</v>
      </c>
      <c r="C158" s="20" t="s">
        <v>186</v>
      </c>
      <c r="D158" s="88">
        <v>8.9100000000000019</v>
      </c>
      <c r="E158" s="49">
        <f>6160.7*0.2/4.8</f>
        <v>256.69583333333338</v>
      </c>
      <c r="F158" s="13">
        <f t="shared" si="3"/>
        <v>2287.1598750000007</v>
      </c>
      <c r="G158" s="18"/>
      <c r="H158" t="s">
        <v>916</v>
      </c>
    </row>
    <row r="159" spans="1:8" outlineLevel="2" x14ac:dyDescent="0.25">
      <c r="A159" s="38" t="s">
        <v>716</v>
      </c>
      <c r="B159" s="6" t="s">
        <v>717</v>
      </c>
      <c r="C159" s="20" t="s">
        <v>672</v>
      </c>
      <c r="D159" s="88">
        <v>6.38</v>
      </c>
      <c r="E159" s="49">
        <v>40</v>
      </c>
      <c r="F159" s="13">
        <f t="shared" si="3"/>
        <v>255.2</v>
      </c>
      <c r="G159" s="18" t="s">
        <v>718</v>
      </c>
    </row>
    <row r="160" spans="1:8" ht="28.2" customHeight="1" outlineLevel="2" x14ac:dyDescent="0.25">
      <c r="A160" s="38" t="s">
        <v>719</v>
      </c>
      <c r="B160" s="6" t="s">
        <v>720</v>
      </c>
      <c r="C160" s="20" t="s">
        <v>672</v>
      </c>
      <c r="D160" s="88">
        <v>1087.9160400000001</v>
      </c>
      <c r="E160" s="49">
        <v>35</v>
      </c>
      <c r="F160" s="13">
        <f t="shared" si="3"/>
        <v>38077.061400000006</v>
      </c>
      <c r="G160" s="18" t="s">
        <v>721</v>
      </c>
    </row>
    <row r="161" spans="1:8" ht="28.95" customHeight="1" outlineLevel="2" x14ac:dyDescent="0.25">
      <c r="A161" s="38" t="s">
        <v>722</v>
      </c>
      <c r="B161" s="6" t="s">
        <v>720</v>
      </c>
      <c r="C161" s="20" t="s">
        <v>672</v>
      </c>
      <c r="D161" s="88">
        <v>250.75297500000002</v>
      </c>
      <c r="E161" s="49">
        <f>E160</f>
        <v>35</v>
      </c>
      <c r="F161" s="13">
        <f t="shared" si="3"/>
        <v>8776.3541249999998</v>
      </c>
      <c r="G161" s="18" t="s">
        <v>723</v>
      </c>
    </row>
    <row r="162" spans="1:8" outlineLevel="2" x14ac:dyDescent="0.25">
      <c r="A162" s="38" t="s">
        <v>724</v>
      </c>
      <c r="B162" s="6" t="s">
        <v>725</v>
      </c>
      <c r="C162" s="20" t="s">
        <v>186</v>
      </c>
      <c r="D162" s="88">
        <v>618</v>
      </c>
      <c r="E162" s="49">
        <v>1200</v>
      </c>
      <c r="F162" s="13">
        <f t="shared" si="3"/>
        <v>741600</v>
      </c>
      <c r="G162" s="18"/>
    </row>
    <row r="163" spans="1:8" outlineLevel="2" x14ac:dyDescent="0.25">
      <c r="A163" s="38" t="s">
        <v>726</v>
      </c>
      <c r="B163" s="6" t="s">
        <v>232</v>
      </c>
      <c r="C163" s="20" t="s">
        <v>532</v>
      </c>
      <c r="D163" s="88">
        <v>1271.0082</v>
      </c>
      <c r="E163" s="49">
        <v>150</v>
      </c>
      <c r="F163" s="13">
        <f t="shared" si="3"/>
        <v>190651.23</v>
      </c>
      <c r="G163" s="18"/>
    </row>
    <row r="164" spans="1:8" outlineLevel="2" x14ac:dyDescent="0.25">
      <c r="A164" s="38" t="s">
        <v>727</v>
      </c>
      <c r="B164" s="6" t="s">
        <v>235</v>
      </c>
      <c r="C164" s="20" t="s">
        <v>532</v>
      </c>
      <c r="D164" s="88">
        <v>251.46660000000003</v>
      </c>
      <c r="E164" s="49">
        <v>700</v>
      </c>
      <c r="F164" s="13">
        <f t="shared" si="3"/>
        <v>176026.62000000002</v>
      </c>
      <c r="G164" s="18"/>
    </row>
    <row r="165" spans="1:8" outlineLevel="2" x14ac:dyDescent="0.25">
      <c r="A165" s="38" t="s">
        <v>728</v>
      </c>
      <c r="B165" s="6" t="s">
        <v>729</v>
      </c>
      <c r="C165" s="20" t="s">
        <v>532</v>
      </c>
      <c r="D165" s="88">
        <v>875.00160000000005</v>
      </c>
      <c r="E165" s="49">
        <v>520</v>
      </c>
      <c r="F165" s="13">
        <f t="shared" si="3"/>
        <v>455000.83200000005</v>
      </c>
      <c r="G165" s="18"/>
    </row>
    <row r="166" spans="1:8" outlineLevel="2" x14ac:dyDescent="0.25">
      <c r="A166" s="38" t="s">
        <v>730</v>
      </c>
      <c r="B166" s="6" t="s">
        <v>731</v>
      </c>
      <c r="C166" s="20" t="s">
        <v>186</v>
      </c>
      <c r="D166" s="88">
        <v>767.6099999999999</v>
      </c>
      <c r="E166" s="49">
        <v>350</v>
      </c>
      <c r="F166" s="13">
        <f t="shared" si="3"/>
        <v>268663.49999999994</v>
      </c>
      <c r="G166" s="18"/>
    </row>
    <row r="167" spans="1:8" ht="42.6" customHeight="1" outlineLevel="2" x14ac:dyDescent="0.25">
      <c r="A167" s="38" t="s">
        <v>732</v>
      </c>
      <c r="B167" s="6" t="s">
        <v>733</v>
      </c>
      <c r="C167" s="20" t="s">
        <v>460</v>
      </c>
      <c r="D167" s="88">
        <v>17</v>
      </c>
      <c r="E167" s="89">
        <v>38100</v>
      </c>
      <c r="F167" s="13">
        <f t="shared" si="3"/>
        <v>647700</v>
      </c>
      <c r="G167" s="90" t="s">
        <v>734</v>
      </c>
      <c r="H167" s="224" t="s">
        <v>735</v>
      </c>
    </row>
    <row r="168" spans="1:8" ht="41.4" customHeight="1" outlineLevel="2" x14ac:dyDescent="0.25">
      <c r="A168" s="38" t="s">
        <v>737</v>
      </c>
      <c r="B168" s="6" t="s">
        <v>738</v>
      </c>
      <c r="C168" s="20" t="s">
        <v>460</v>
      </c>
      <c r="D168" s="88">
        <v>22</v>
      </c>
      <c r="E168" s="89">
        <v>20300</v>
      </c>
      <c r="F168" s="13">
        <f t="shared" si="3"/>
        <v>446600</v>
      </c>
      <c r="G168" s="18" t="s">
        <v>734</v>
      </c>
      <c r="H168" s="224" t="s">
        <v>735</v>
      </c>
    </row>
    <row r="169" spans="1:8" ht="41.4" customHeight="1" outlineLevel="2" x14ac:dyDescent="0.25">
      <c r="A169" s="38" t="s">
        <v>739</v>
      </c>
      <c r="B169" s="6" t="s">
        <v>740</v>
      </c>
      <c r="C169" s="20" t="s">
        <v>460</v>
      </c>
      <c r="D169" s="88">
        <v>2</v>
      </c>
      <c r="E169" s="89">
        <v>15800</v>
      </c>
      <c r="F169" s="13">
        <f t="shared" si="3"/>
        <v>31600</v>
      </c>
      <c r="G169" s="18" t="s">
        <v>734</v>
      </c>
      <c r="H169" s="224" t="s">
        <v>735</v>
      </c>
    </row>
    <row r="170" spans="1:8" ht="26.4" outlineLevel="2" x14ac:dyDescent="0.25">
      <c r="A170" s="38" t="s">
        <v>741</v>
      </c>
      <c r="B170" s="6" t="s">
        <v>742</v>
      </c>
      <c r="C170" s="20" t="s">
        <v>460</v>
      </c>
      <c r="D170" s="88">
        <v>3</v>
      </c>
      <c r="E170" s="89">
        <v>13000</v>
      </c>
      <c r="F170" s="13">
        <f t="shared" si="3"/>
        <v>39000</v>
      </c>
      <c r="G170" s="18"/>
      <c r="H170" s="224" t="s">
        <v>735</v>
      </c>
    </row>
    <row r="171" spans="1:8" ht="26.4" outlineLevel="2" x14ac:dyDescent="0.25">
      <c r="A171" s="38" t="s">
        <v>743</v>
      </c>
      <c r="B171" s="6" t="s">
        <v>744</v>
      </c>
      <c r="C171" s="20" t="s">
        <v>532</v>
      </c>
      <c r="D171" s="88">
        <v>49</v>
      </c>
      <c r="E171" s="89">
        <v>890</v>
      </c>
      <c r="F171" s="13">
        <f t="shared" si="3"/>
        <v>43610</v>
      </c>
      <c r="G171" s="18" t="s">
        <v>745</v>
      </c>
    </row>
    <row r="172" spans="1:8" outlineLevel="2" x14ac:dyDescent="0.25">
      <c r="A172" s="38" t="s">
        <v>746</v>
      </c>
      <c r="B172" s="6" t="s">
        <v>244</v>
      </c>
      <c r="C172" s="20" t="s">
        <v>460</v>
      </c>
      <c r="D172" s="88">
        <v>98</v>
      </c>
      <c r="E172" s="89">
        <v>100</v>
      </c>
      <c r="F172" s="13">
        <f t="shared" si="3"/>
        <v>9800</v>
      </c>
      <c r="G172" s="18"/>
    </row>
    <row r="173" spans="1:8" ht="26.4" outlineLevel="2" x14ac:dyDescent="0.25">
      <c r="A173" s="38" t="s">
        <v>747</v>
      </c>
      <c r="B173" s="6" t="s">
        <v>748</v>
      </c>
      <c r="C173" s="20" t="s">
        <v>532</v>
      </c>
      <c r="D173" s="88">
        <v>50</v>
      </c>
      <c r="E173" s="89">
        <v>1000</v>
      </c>
      <c r="F173" s="13">
        <f t="shared" si="3"/>
        <v>50000</v>
      </c>
      <c r="G173" s="18" t="s">
        <v>745</v>
      </c>
    </row>
    <row r="174" spans="1:8" ht="42.6" customHeight="1" outlineLevel="2" x14ac:dyDescent="0.25">
      <c r="A174" s="38" t="s">
        <v>749</v>
      </c>
      <c r="B174" s="6" t="s">
        <v>750</v>
      </c>
      <c r="C174" s="20" t="s">
        <v>460</v>
      </c>
      <c r="D174" s="88">
        <v>4</v>
      </c>
      <c r="E174" s="89">
        <v>53850</v>
      </c>
      <c r="F174" s="13">
        <f t="shared" si="3"/>
        <v>215400</v>
      </c>
      <c r="G174" s="18" t="s">
        <v>751</v>
      </c>
      <c r="H174" s="223" t="s">
        <v>752</v>
      </c>
    </row>
    <row r="175" spans="1:8" ht="26.4" outlineLevel="2" x14ac:dyDescent="0.25">
      <c r="A175" s="38" t="s">
        <v>754</v>
      </c>
      <c r="B175" s="6" t="s">
        <v>755</v>
      </c>
      <c r="C175" s="20" t="s">
        <v>460</v>
      </c>
      <c r="D175" s="88">
        <v>39</v>
      </c>
      <c r="E175" s="89">
        <v>20000</v>
      </c>
      <c r="F175" s="13">
        <f t="shared" si="3"/>
        <v>780000</v>
      </c>
      <c r="G175" s="18" t="s">
        <v>751</v>
      </c>
    </row>
    <row r="176" spans="1:8" ht="26.4" outlineLevel="2" x14ac:dyDescent="0.25">
      <c r="A176" s="38" t="s">
        <v>756</v>
      </c>
      <c r="B176" s="6" t="s">
        <v>757</v>
      </c>
      <c r="C176" s="20" t="s">
        <v>460</v>
      </c>
      <c r="D176" s="88">
        <v>31</v>
      </c>
      <c r="E176" s="89">
        <f>E175</f>
        <v>20000</v>
      </c>
      <c r="F176" s="13">
        <f t="shared" si="3"/>
        <v>620000</v>
      </c>
      <c r="G176" s="18" t="s">
        <v>751</v>
      </c>
    </row>
    <row r="177" spans="1:8" ht="39.6" outlineLevel="2" x14ac:dyDescent="0.25">
      <c r="A177" s="38" t="s">
        <v>758</v>
      </c>
      <c r="B177" s="6" t="s">
        <v>759</v>
      </c>
      <c r="C177" s="20" t="s">
        <v>460</v>
      </c>
      <c r="D177" s="88">
        <v>1</v>
      </c>
      <c r="E177" s="89">
        <v>35500</v>
      </c>
      <c r="F177" s="13">
        <f t="shared" si="3"/>
        <v>35500</v>
      </c>
      <c r="G177" s="18" t="s">
        <v>751</v>
      </c>
      <c r="H177" s="223" t="s">
        <v>752</v>
      </c>
    </row>
    <row r="178" spans="1:8" ht="26.4" outlineLevel="2" x14ac:dyDescent="0.25">
      <c r="A178" s="38" t="s">
        <v>760</v>
      </c>
      <c r="B178" s="6" t="s">
        <v>761</v>
      </c>
      <c r="C178" s="20" t="s">
        <v>460</v>
      </c>
      <c r="D178" s="88">
        <v>31</v>
      </c>
      <c r="E178" s="91">
        <v>30000</v>
      </c>
      <c r="F178" s="13">
        <f t="shared" si="3"/>
        <v>930000</v>
      </c>
      <c r="G178" s="18" t="s">
        <v>751</v>
      </c>
      <c r="H178" s="223" t="s">
        <v>752</v>
      </c>
    </row>
    <row r="179" spans="1:8" outlineLevel="2" x14ac:dyDescent="0.25">
      <c r="A179" s="38" t="s">
        <v>762</v>
      </c>
      <c r="B179" s="6" t="s">
        <v>763</v>
      </c>
      <c r="C179" s="20" t="s">
        <v>460</v>
      </c>
      <c r="D179" s="88">
        <f>SUM(D174:D178)</f>
        <v>106</v>
      </c>
      <c r="E179" s="83">
        <f>E176</f>
        <v>20000</v>
      </c>
      <c r="F179" s="13">
        <f t="shared" si="3"/>
        <v>2120000</v>
      </c>
      <c r="G179" s="92"/>
    </row>
    <row r="180" spans="1:8" outlineLevel="2" x14ac:dyDescent="0.25">
      <c r="A180" s="38" t="s">
        <v>764</v>
      </c>
      <c r="B180" s="6" t="s">
        <v>765</v>
      </c>
      <c r="C180" s="20" t="s">
        <v>532</v>
      </c>
      <c r="D180" s="88">
        <v>462.8</v>
      </c>
      <c r="E180" s="91">
        <v>780</v>
      </c>
      <c r="F180" s="13">
        <f t="shared" si="3"/>
        <v>360984</v>
      </c>
      <c r="G180" s="93"/>
    </row>
    <row r="181" spans="1:8" outlineLevel="2" x14ac:dyDescent="0.25">
      <c r="A181" s="38" t="s">
        <v>766</v>
      </c>
      <c r="B181" s="6" t="s">
        <v>767</v>
      </c>
      <c r="C181" s="20" t="s">
        <v>582</v>
      </c>
      <c r="D181" s="88">
        <v>106</v>
      </c>
      <c r="E181" s="91">
        <v>1500</v>
      </c>
      <c r="F181" s="13">
        <f t="shared" si="3"/>
        <v>159000</v>
      </c>
      <c r="G181" s="93"/>
    </row>
    <row r="182" spans="1:8" outlineLevel="2" x14ac:dyDescent="0.25">
      <c r="A182" s="38" t="s">
        <v>768</v>
      </c>
      <c r="B182" s="6" t="s">
        <v>250</v>
      </c>
      <c r="C182" s="20" t="s">
        <v>460</v>
      </c>
      <c r="D182" s="88">
        <v>106</v>
      </c>
      <c r="E182" s="91">
        <v>5000</v>
      </c>
      <c r="F182" s="13">
        <f t="shared" si="3"/>
        <v>530000</v>
      </c>
      <c r="G182" s="93"/>
    </row>
    <row r="183" spans="1:8" outlineLevel="2" x14ac:dyDescent="0.25">
      <c r="A183" s="38" t="s">
        <v>769</v>
      </c>
      <c r="B183" s="6" t="s">
        <v>253</v>
      </c>
      <c r="C183" s="20" t="s">
        <v>460</v>
      </c>
      <c r="D183" s="88">
        <v>585</v>
      </c>
      <c r="E183" s="91">
        <v>500</v>
      </c>
      <c r="F183" s="13">
        <f t="shared" si="3"/>
        <v>292500</v>
      </c>
      <c r="G183" s="93"/>
    </row>
    <row r="184" spans="1:8" outlineLevel="2" x14ac:dyDescent="0.25">
      <c r="A184" s="38" t="s">
        <v>770</v>
      </c>
      <c r="B184" s="6" t="s">
        <v>259</v>
      </c>
      <c r="C184" s="20" t="s">
        <v>771</v>
      </c>
      <c r="D184" s="88">
        <v>1</v>
      </c>
      <c r="E184" s="91">
        <v>10000</v>
      </c>
      <c r="F184" s="13">
        <f t="shared" si="3"/>
        <v>10000</v>
      </c>
      <c r="G184" s="93"/>
    </row>
    <row r="185" spans="1:8" ht="26.4" outlineLevel="2" x14ac:dyDescent="0.25">
      <c r="A185" s="38" t="s">
        <v>772</v>
      </c>
      <c r="B185" s="6" t="s">
        <v>773</v>
      </c>
      <c r="C185" s="20" t="s">
        <v>186</v>
      </c>
      <c r="D185" s="88">
        <v>74.099999999999994</v>
      </c>
      <c r="E185" s="91">
        <v>18690</v>
      </c>
      <c r="F185" s="13">
        <f t="shared" si="3"/>
        <v>1384929</v>
      </c>
      <c r="G185" s="93"/>
    </row>
    <row r="186" spans="1:8" ht="26.4" outlineLevel="2" x14ac:dyDescent="0.25">
      <c r="A186" s="38" t="s">
        <v>774</v>
      </c>
      <c r="B186" s="6" t="s">
        <v>775</v>
      </c>
      <c r="C186" s="20" t="s">
        <v>460</v>
      </c>
      <c r="D186" s="88">
        <v>24</v>
      </c>
      <c r="E186" s="91">
        <f>E177</f>
        <v>35500</v>
      </c>
      <c r="F186" s="13">
        <f t="shared" si="3"/>
        <v>852000</v>
      </c>
      <c r="G186" s="93"/>
    </row>
    <row r="187" spans="1:8" ht="26.4" outlineLevel="2" x14ac:dyDescent="0.25">
      <c r="A187" s="38" t="s">
        <v>776</v>
      </c>
      <c r="B187" s="6" t="s">
        <v>777</v>
      </c>
      <c r="C187" s="20" t="s">
        <v>186</v>
      </c>
      <c r="D187" s="88">
        <v>12.7</v>
      </c>
      <c r="E187" s="91">
        <f>E185</f>
        <v>18690</v>
      </c>
      <c r="F187" s="13">
        <f t="shared" si="3"/>
        <v>237363</v>
      </c>
      <c r="G187" s="18" t="s">
        <v>778</v>
      </c>
    </row>
    <row r="188" spans="1:8" ht="26.4" outlineLevel="2" x14ac:dyDescent="0.25">
      <c r="A188" s="38" t="s">
        <v>779</v>
      </c>
      <c r="B188" s="6" t="s">
        <v>780</v>
      </c>
      <c r="C188" s="20" t="s">
        <v>186</v>
      </c>
      <c r="D188" s="88">
        <v>3.8</v>
      </c>
      <c r="E188" s="89">
        <v>2000</v>
      </c>
      <c r="F188" s="13">
        <f t="shared" si="3"/>
        <v>7600</v>
      </c>
      <c r="G188" s="18" t="s">
        <v>778</v>
      </c>
    </row>
    <row r="189" spans="1:8" outlineLevel="2" x14ac:dyDescent="0.25">
      <c r="A189" s="38" t="s">
        <v>781</v>
      </c>
      <c r="B189" s="6" t="s">
        <v>782</v>
      </c>
      <c r="C189" s="20" t="s">
        <v>186</v>
      </c>
      <c r="D189" s="88">
        <v>5.4</v>
      </c>
      <c r="E189" s="91">
        <v>1500</v>
      </c>
      <c r="F189" s="13">
        <f t="shared" si="3"/>
        <v>8100.0000000000009</v>
      </c>
      <c r="G189" s="93"/>
    </row>
    <row r="190" spans="1:8" outlineLevel="2" x14ac:dyDescent="0.25">
      <c r="A190" s="38" t="s">
        <v>783</v>
      </c>
      <c r="B190" s="6" t="s">
        <v>784</v>
      </c>
      <c r="C190" s="20" t="s">
        <v>457</v>
      </c>
      <c r="D190" s="88">
        <v>43.2</v>
      </c>
      <c r="E190" s="83">
        <v>1000</v>
      </c>
      <c r="F190" s="13">
        <f t="shared" si="3"/>
        <v>43200</v>
      </c>
      <c r="G190" s="92"/>
    </row>
    <row r="191" spans="1:8" x14ac:dyDescent="0.25">
      <c r="A191" s="94"/>
      <c r="B191" s="17" t="s">
        <v>570</v>
      </c>
      <c r="C191" s="95"/>
      <c r="D191" s="96"/>
      <c r="E191" s="86"/>
      <c r="F191" s="87">
        <f>SUM(F192:F219)</f>
        <v>1414367.5</v>
      </c>
      <c r="G191" s="85"/>
    </row>
    <row r="192" spans="1:8" outlineLevel="1" x14ac:dyDescent="0.25">
      <c r="A192" s="38" t="s">
        <v>785</v>
      </c>
      <c r="B192" s="6" t="s">
        <v>786</v>
      </c>
      <c r="C192" s="20" t="s">
        <v>460</v>
      </c>
      <c r="D192" s="88">
        <v>24</v>
      </c>
      <c r="E192" s="89">
        <v>13000</v>
      </c>
      <c r="F192" s="13">
        <f t="shared" si="3"/>
        <v>312000</v>
      </c>
      <c r="G192" s="18"/>
    </row>
    <row r="193" spans="1:7" outlineLevel="1" x14ac:dyDescent="0.25">
      <c r="A193" s="38" t="s">
        <v>787</v>
      </c>
      <c r="B193" s="6" t="s">
        <v>788</v>
      </c>
      <c r="C193" s="20" t="s">
        <v>532</v>
      </c>
      <c r="D193" s="88">
        <v>150</v>
      </c>
      <c r="E193" s="89">
        <v>150</v>
      </c>
      <c r="F193" s="13">
        <f t="shared" ref="F193:F238" si="4">D193*E193</f>
        <v>22500</v>
      </c>
      <c r="G193" s="18"/>
    </row>
    <row r="194" spans="1:7" outlineLevel="1" x14ac:dyDescent="0.25">
      <c r="A194" s="38" t="s">
        <v>789</v>
      </c>
      <c r="B194" s="6" t="s">
        <v>790</v>
      </c>
      <c r="C194" s="20" t="s">
        <v>460</v>
      </c>
      <c r="D194" s="88">
        <v>15</v>
      </c>
      <c r="E194" s="89">
        <v>12000</v>
      </c>
      <c r="F194" s="13">
        <f t="shared" si="4"/>
        <v>180000</v>
      </c>
      <c r="G194" s="18"/>
    </row>
    <row r="195" spans="1:7" outlineLevel="1" x14ac:dyDescent="0.25">
      <c r="A195" s="38" t="s">
        <v>791</v>
      </c>
      <c r="B195" s="6" t="s">
        <v>792</v>
      </c>
      <c r="C195" s="20" t="s">
        <v>460</v>
      </c>
      <c r="D195" s="88">
        <v>15</v>
      </c>
      <c r="E195" s="89">
        <v>1200</v>
      </c>
      <c r="F195" s="13">
        <f t="shared" si="4"/>
        <v>18000</v>
      </c>
      <c r="G195" s="18"/>
    </row>
    <row r="196" spans="1:7" outlineLevel="1" x14ac:dyDescent="0.25">
      <c r="A196" s="38" t="s">
        <v>793</v>
      </c>
      <c r="B196" s="6" t="s">
        <v>794</v>
      </c>
      <c r="C196" s="20" t="s">
        <v>460</v>
      </c>
      <c r="D196" s="88">
        <v>15</v>
      </c>
      <c r="E196" s="89">
        <v>6500</v>
      </c>
      <c r="F196" s="13">
        <f t="shared" si="4"/>
        <v>97500</v>
      </c>
      <c r="G196" s="18"/>
    </row>
    <row r="197" spans="1:7" outlineLevel="1" x14ac:dyDescent="0.25">
      <c r="A197" s="38" t="s">
        <v>795</v>
      </c>
      <c r="B197" s="6" t="s">
        <v>796</v>
      </c>
      <c r="C197" s="20" t="s">
        <v>460</v>
      </c>
      <c r="D197" s="88">
        <v>5</v>
      </c>
      <c r="E197" s="89">
        <v>23000</v>
      </c>
      <c r="F197" s="13">
        <f t="shared" si="4"/>
        <v>115000</v>
      </c>
      <c r="G197" s="18"/>
    </row>
    <row r="198" spans="1:7" ht="12.6" customHeight="1" outlineLevel="1" x14ac:dyDescent="0.25">
      <c r="A198" s="38" t="s">
        <v>797</v>
      </c>
      <c r="B198" s="6" t="s">
        <v>798</v>
      </c>
      <c r="C198" s="20" t="s">
        <v>460</v>
      </c>
      <c r="D198" s="88">
        <v>24</v>
      </c>
      <c r="E198" s="89">
        <v>14000</v>
      </c>
      <c r="F198" s="13">
        <f t="shared" si="4"/>
        <v>336000</v>
      </c>
      <c r="G198" s="18" t="s">
        <v>799</v>
      </c>
    </row>
    <row r="199" spans="1:7" ht="15" customHeight="1" outlineLevel="1" x14ac:dyDescent="0.25">
      <c r="A199" s="38" t="s">
        <v>800</v>
      </c>
      <c r="B199" s="6" t="s">
        <v>801</v>
      </c>
      <c r="C199" s="20" t="s">
        <v>460</v>
      </c>
      <c r="D199" s="88">
        <v>24</v>
      </c>
      <c r="E199" s="89">
        <v>2500</v>
      </c>
      <c r="F199" s="13">
        <f t="shared" si="4"/>
        <v>60000</v>
      </c>
      <c r="G199" s="18" t="s">
        <v>799</v>
      </c>
    </row>
    <row r="200" spans="1:7" outlineLevel="1" x14ac:dyDescent="0.25">
      <c r="A200" s="38" t="s">
        <v>802</v>
      </c>
      <c r="B200" s="6" t="s">
        <v>803</v>
      </c>
      <c r="C200" s="20" t="s">
        <v>532</v>
      </c>
      <c r="D200" s="88">
        <v>80</v>
      </c>
      <c r="E200" s="89">
        <v>100</v>
      </c>
      <c r="F200" s="13">
        <f t="shared" si="4"/>
        <v>8000</v>
      </c>
      <c r="G200" s="18"/>
    </row>
    <row r="201" spans="1:7" outlineLevel="1" x14ac:dyDescent="0.25">
      <c r="A201" s="38" t="s">
        <v>804</v>
      </c>
      <c r="B201" s="6" t="s">
        <v>805</v>
      </c>
      <c r="C201" s="20" t="s">
        <v>460</v>
      </c>
      <c r="D201" s="88">
        <v>48</v>
      </c>
      <c r="E201" s="89">
        <v>30</v>
      </c>
      <c r="F201" s="13">
        <f t="shared" si="4"/>
        <v>1440</v>
      </c>
      <c r="G201" s="18"/>
    </row>
    <row r="202" spans="1:7" ht="24" outlineLevel="1" x14ac:dyDescent="0.25">
      <c r="A202" s="38" t="s">
        <v>806</v>
      </c>
      <c r="B202" s="6" t="s">
        <v>807</v>
      </c>
      <c r="C202" s="20" t="s">
        <v>532</v>
      </c>
      <c r="D202" s="88">
        <v>400</v>
      </c>
      <c r="E202" s="89">
        <v>120</v>
      </c>
      <c r="F202" s="13">
        <f t="shared" si="4"/>
        <v>48000</v>
      </c>
      <c r="G202" s="97" t="s">
        <v>808</v>
      </c>
    </row>
    <row r="203" spans="1:7" ht="24" outlineLevel="1" x14ac:dyDescent="0.25">
      <c r="A203" s="38" t="s">
        <v>809</v>
      </c>
      <c r="B203" s="6" t="s">
        <v>810</v>
      </c>
      <c r="C203" s="20" t="s">
        <v>532</v>
      </c>
      <c r="D203" s="88">
        <v>200</v>
      </c>
      <c r="E203" s="89">
        <v>100</v>
      </c>
      <c r="F203" s="13">
        <f t="shared" si="4"/>
        <v>20000</v>
      </c>
      <c r="G203" s="97" t="s">
        <v>808</v>
      </c>
    </row>
    <row r="204" spans="1:7" ht="24" outlineLevel="1" x14ac:dyDescent="0.25">
      <c r="A204" s="38" t="s">
        <v>811</v>
      </c>
      <c r="B204" s="6" t="s">
        <v>812</v>
      </c>
      <c r="C204" s="20" t="s">
        <v>460</v>
      </c>
      <c r="D204" s="88">
        <v>800</v>
      </c>
      <c r="E204" s="89">
        <v>3</v>
      </c>
      <c r="F204" s="13">
        <f t="shared" si="4"/>
        <v>2400</v>
      </c>
      <c r="G204" s="97" t="s">
        <v>808</v>
      </c>
    </row>
    <row r="205" spans="1:7" outlineLevel="1" x14ac:dyDescent="0.25">
      <c r="A205" s="38" t="s">
        <v>813</v>
      </c>
      <c r="B205" s="6" t="s">
        <v>814</v>
      </c>
      <c r="C205" s="20" t="s">
        <v>460</v>
      </c>
      <c r="D205" s="88">
        <v>400</v>
      </c>
      <c r="E205" s="89">
        <v>3</v>
      </c>
      <c r="F205" s="13">
        <f t="shared" si="4"/>
        <v>1200</v>
      </c>
      <c r="G205" s="97" t="s">
        <v>815</v>
      </c>
    </row>
    <row r="206" spans="1:7" outlineLevel="1" x14ac:dyDescent="0.25">
      <c r="A206" s="38" t="s">
        <v>816</v>
      </c>
      <c r="B206" s="6" t="s">
        <v>817</v>
      </c>
      <c r="C206" s="20" t="s">
        <v>460</v>
      </c>
      <c r="D206" s="88">
        <v>102</v>
      </c>
      <c r="E206" s="89">
        <v>300</v>
      </c>
      <c r="F206" s="13">
        <f t="shared" si="4"/>
        <v>30600</v>
      </c>
      <c r="G206" s="18"/>
    </row>
    <row r="207" spans="1:7" outlineLevel="1" x14ac:dyDescent="0.25">
      <c r="A207" s="38" t="s">
        <v>818</v>
      </c>
      <c r="B207" s="124" t="s">
        <v>819</v>
      </c>
      <c r="C207" s="125" t="s">
        <v>290</v>
      </c>
      <c r="D207" s="126">
        <v>22</v>
      </c>
      <c r="E207" s="98">
        <v>115</v>
      </c>
      <c r="F207" s="98">
        <f>E207*D207</f>
        <v>2530</v>
      </c>
      <c r="G207" s="18"/>
    </row>
    <row r="208" spans="1:7" outlineLevel="1" x14ac:dyDescent="0.25">
      <c r="A208" s="38" t="s">
        <v>820</v>
      </c>
      <c r="B208" s="124" t="s">
        <v>821</v>
      </c>
      <c r="C208" s="125" t="s">
        <v>290</v>
      </c>
      <c r="D208" s="126">
        <v>22</v>
      </c>
      <c r="E208" s="98">
        <v>185</v>
      </c>
      <c r="F208" s="98">
        <f>E208*D208</f>
        <v>4070</v>
      </c>
      <c r="G208" s="18"/>
    </row>
    <row r="209" spans="1:7" outlineLevel="1" x14ac:dyDescent="0.25">
      <c r="A209" s="38" t="s">
        <v>822</v>
      </c>
      <c r="B209" s="124" t="s">
        <v>823</v>
      </c>
      <c r="C209" s="125" t="s">
        <v>290</v>
      </c>
      <c r="D209" s="126">
        <v>17</v>
      </c>
      <c r="E209" s="98">
        <v>310</v>
      </c>
      <c r="F209" s="98">
        <f t="shared" ref="F209:F215" si="5">E209*D209</f>
        <v>5270</v>
      </c>
      <c r="G209" s="18"/>
    </row>
    <row r="210" spans="1:7" outlineLevel="1" x14ac:dyDescent="0.25">
      <c r="A210" s="38" t="s">
        <v>824</v>
      </c>
      <c r="B210" s="124" t="s">
        <v>825</v>
      </c>
      <c r="C210" s="125" t="s">
        <v>290</v>
      </c>
      <c r="D210" s="126">
        <v>20</v>
      </c>
      <c r="E210" s="98">
        <v>800</v>
      </c>
      <c r="F210" s="98">
        <f t="shared" si="5"/>
        <v>16000</v>
      </c>
      <c r="G210" s="18"/>
    </row>
    <row r="211" spans="1:7" ht="27" customHeight="1" outlineLevel="1" x14ac:dyDescent="0.25">
      <c r="A211" s="38" t="s">
        <v>826</v>
      </c>
      <c r="B211" s="124" t="s">
        <v>827</v>
      </c>
      <c r="C211" s="125" t="s">
        <v>460</v>
      </c>
      <c r="D211" s="126">
        <f>D96</f>
        <v>48</v>
      </c>
      <c r="E211" s="127">
        <v>510</v>
      </c>
      <c r="F211" s="98">
        <f t="shared" si="5"/>
        <v>24480</v>
      </c>
      <c r="G211" s="18"/>
    </row>
    <row r="212" spans="1:7" ht="26.4" outlineLevel="1" x14ac:dyDescent="0.25">
      <c r="A212" s="38" t="s">
        <v>828</v>
      </c>
      <c r="B212" s="124" t="s">
        <v>829</v>
      </c>
      <c r="C212" s="125" t="s">
        <v>460</v>
      </c>
      <c r="D212" s="126">
        <f>D97</f>
        <v>12</v>
      </c>
      <c r="E212" s="127">
        <v>1200</v>
      </c>
      <c r="F212" s="98">
        <f t="shared" si="5"/>
        <v>14400</v>
      </c>
      <c r="G212" s="18"/>
    </row>
    <row r="213" spans="1:7" outlineLevel="1" x14ac:dyDescent="0.25">
      <c r="A213" s="38" t="s">
        <v>830</v>
      </c>
      <c r="B213" s="124" t="s">
        <v>831</v>
      </c>
      <c r="C213" s="125" t="s">
        <v>460</v>
      </c>
      <c r="D213" s="126">
        <f>D98</f>
        <v>2</v>
      </c>
      <c r="E213" s="127">
        <v>2320</v>
      </c>
      <c r="F213" s="98">
        <f t="shared" si="5"/>
        <v>4640</v>
      </c>
      <c r="G213" s="18"/>
    </row>
    <row r="214" spans="1:7" ht="26.4" outlineLevel="1" x14ac:dyDescent="0.25">
      <c r="A214" s="38" t="s">
        <v>832</v>
      </c>
      <c r="B214" s="124" t="s">
        <v>833</v>
      </c>
      <c r="C214" s="125" t="s">
        <v>460</v>
      </c>
      <c r="D214" s="126">
        <f>D99</f>
        <v>39</v>
      </c>
      <c r="E214" s="127">
        <v>400</v>
      </c>
      <c r="F214" s="98">
        <f t="shared" si="5"/>
        <v>15600</v>
      </c>
      <c r="G214" s="18"/>
    </row>
    <row r="215" spans="1:7" ht="26.4" outlineLevel="1" x14ac:dyDescent="0.25">
      <c r="A215" s="38" t="s">
        <v>834</v>
      </c>
      <c r="B215" s="124" t="s">
        <v>835</v>
      </c>
      <c r="C215" s="125" t="s">
        <v>460</v>
      </c>
      <c r="D215" s="126">
        <f>D192</f>
        <v>24</v>
      </c>
      <c r="E215" s="127">
        <v>170</v>
      </c>
      <c r="F215" s="98">
        <f t="shared" si="5"/>
        <v>4080</v>
      </c>
      <c r="G215" s="18"/>
    </row>
    <row r="216" spans="1:7" ht="26.4" outlineLevel="1" x14ac:dyDescent="0.25">
      <c r="A216" s="38" t="s">
        <v>836</v>
      </c>
      <c r="B216" s="124" t="s">
        <v>837</v>
      </c>
      <c r="C216" s="125" t="s">
        <v>460</v>
      </c>
      <c r="D216" s="126">
        <f>D211</f>
        <v>48</v>
      </c>
      <c r="E216" s="98">
        <v>280</v>
      </c>
      <c r="F216" s="98">
        <f t="shared" ref="F216" si="6">E216*D216</f>
        <v>13440</v>
      </c>
      <c r="G216" s="18"/>
    </row>
    <row r="217" spans="1:7" ht="26.4" outlineLevel="1" x14ac:dyDescent="0.25">
      <c r="A217" s="38" t="s">
        <v>838</v>
      </c>
      <c r="B217" s="6" t="s">
        <v>839</v>
      </c>
      <c r="C217" s="20" t="s">
        <v>672</v>
      </c>
      <c r="D217" s="88">
        <f>((1.46*53)*0.25)*2</f>
        <v>38.69</v>
      </c>
      <c r="E217" s="89">
        <v>750</v>
      </c>
      <c r="F217" s="13">
        <f t="shared" si="4"/>
        <v>29017.5</v>
      </c>
      <c r="G217" s="18" t="s">
        <v>840</v>
      </c>
    </row>
    <row r="218" spans="1:7" ht="26.4" outlineLevel="1" x14ac:dyDescent="0.25">
      <c r="A218" s="38" t="s">
        <v>841</v>
      </c>
      <c r="B218" s="6" t="s">
        <v>842</v>
      </c>
      <c r="C218" s="20" t="s">
        <v>460</v>
      </c>
      <c r="D218" s="88">
        <v>12</v>
      </c>
      <c r="E218" s="89">
        <v>2000</v>
      </c>
      <c r="F218" s="13">
        <f t="shared" si="4"/>
        <v>24000</v>
      </c>
      <c r="G218" s="18" t="s">
        <v>843</v>
      </c>
    </row>
    <row r="219" spans="1:7" ht="26.4" outlineLevel="1" x14ac:dyDescent="0.25">
      <c r="A219" s="38" t="s">
        <v>844</v>
      </c>
      <c r="B219" s="6" t="s">
        <v>845</v>
      </c>
      <c r="C219" s="7" t="s">
        <v>460</v>
      </c>
      <c r="D219" s="128">
        <v>6</v>
      </c>
      <c r="E219" s="91">
        <v>700</v>
      </c>
      <c r="F219" s="13">
        <f t="shared" si="4"/>
        <v>4200</v>
      </c>
      <c r="G219" s="92"/>
    </row>
    <row r="220" spans="1:7" x14ac:dyDescent="0.25">
      <c r="A220" s="81"/>
      <c r="B220" s="17" t="s">
        <v>132</v>
      </c>
      <c r="C220" s="95"/>
      <c r="D220" s="96"/>
      <c r="E220" s="86"/>
      <c r="F220" s="87">
        <f>SUM(F221:F228)</f>
        <v>928563.6</v>
      </c>
      <c r="G220" s="85"/>
    </row>
    <row r="221" spans="1:7" outlineLevel="1" x14ac:dyDescent="0.25">
      <c r="A221" s="38" t="s">
        <v>846</v>
      </c>
      <c r="B221" s="6" t="s">
        <v>847</v>
      </c>
      <c r="C221" s="20" t="s">
        <v>616</v>
      </c>
      <c r="D221" s="88">
        <v>36</v>
      </c>
      <c r="E221" s="89">
        <v>150</v>
      </c>
      <c r="F221" s="29">
        <f t="shared" si="4"/>
        <v>5400</v>
      </c>
      <c r="G221" s="21"/>
    </row>
    <row r="222" spans="1:7" ht="26.4" outlineLevel="1" x14ac:dyDescent="0.25">
      <c r="A222" s="38" t="s">
        <v>848</v>
      </c>
      <c r="B222" s="6" t="s">
        <v>849</v>
      </c>
      <c r="C222" s="20" t="s">
        <v>616</v>
      </c>
      <c r="D222" s="88">
        <v>27</v>
      </c>
      <c r="E222" s="89">
        <v>150</v>
      </c>
      <c r="F222" s="29">
        <f t="shared" si="4"/>
        <v>4050</v>
      </c>
      <c r="G222" s="21"/>
    </row>
    <row r="223" spans="1:7" ht="26.4" outlineLevel="1" x14ac:dyDescent="0.25">
      <c r="A223" s="38" t="s">
        <v>850</v>
      </c>
      <c r="B223" s="6" t="s">
        <v>851</v>
      </c>
      <c r="C223" s="20" t="s">
        <v>616</v>
      </c>
      <c r="D223" s="88">
        <v>36</v>
      </c>
      <c r="E223" s="89">
        <f>3941*1.1</f>
        <v>4335.1000000000004</v>
      </c>
      <c r="F223" s="29">
        <f t="shared" si="4"/>
        <v>156063.6</v>
      </c>
      <c r="G223" s="21"/>
    </row>
    <row r="224" spans="1:7" ht="31.2" customHeight="1" outlineLevel="1" x14ac:dyDescent="0.25">
      <c r="A224" s="38" t="s">
        <v>852</v>
      </c>
      <c r="B224" s="6" t="s">
        <v>853</v>
      </c>
      <c r="C224" s="20" t="s">
        <v>616</v>
      </c>
      <c r="D224" s="88">
        <v>36</v>
      </c>
      <c r="E224" s="89">
        <v>1500</v>
      </c>
      <c r="F224" s="29">
        <f t="shared" si="4"/>
        <v>54000</v>
      </c>
      <c r="G224" s="129" t="s">
        <v>854</v>
      </c>
    </row>
    <row r="225" spans="1:7" ht="26.4" outlineLevel="1" x14ac:dyDescent="0.25">
      <c r="A225" s="38" t="s">
        <v>855</v>
      </c>
      <c r="B225" s="6" t="s">
        <v>856</v>
      </c>
      <c r="C225" s="20" t="s">
        <v>616</v>
      </c>
      <c r="D225" s="88">
        <v>30</v>
      </c>
      <c r="E225" s="89">
        <v>1150</v>
      </c>
      <c r="F225" s="29">
        <f t="shared" si="4"/>
        <v>34500</v>
      </c>
      <c r="G225" s="22"/>
    </row>
    <row r="226" spans="1:7" outlineLevel="1" x14ac:dyDescent="0.25">
      <c r="A226" s="38" t="s">
        <v>857</v>
      </c>
      <c r="B226" s="6" t="s">
        <v>858</v>
      </c>
      <c r="C226" s="20" t="s">
        <v>616</v>
      </c>
      <c r="D226" s="88">
        <v>33</v>
      </c>
      <c r="E226" s="89">
        <v>1350</v>
      </c>
      <c r="F226" s="29">
        <f t="shared" si="4"/>
        <v>44550</v>
      </c>
      <c r="G226" s="21"/>
    </row>
    <row r="227" spans="1:7" ht="26.4" outlineLevel="1" x14ac:dyDescent="0.25">
      <c r="A227" s="38" t="s">
        <v>859</v>
      </c>
      <c r="B227" s="6" t="s">
        <v>860</v>
      </c>
      <c r="C227" s="46" t="s">
        <v>616</v>
      </c>
      <c r="D227" s="99">
        <v>3</v>
      </c>
      <c r="E227" s="89">
        <f>1000*120</f>
        <v>120000</v>
      </c>
      <c r="F227" s="29">
        <f t="shared" si="4"/>
        <v>360000</v>
      </c>
      <c r="G227" s="236" t="s">
        <v>861</v>
      </c>
    </row>
    <row r="228" spans="1:7" outlineLevel="1" x14ac:dyDescent="0.25">
      <c r="A228" s="38" t="s">
        <v>862</v>
      </c>
      <c r="B228" s="6" t="s">
        <v>863</v>
      </c>
      <c r="C228" s="46" t="s">
        <v>616</v>
      </c>
      <c r="D228" s="99">
        <v>3</v>
      </c>
      <c r="E228" s="89">
        <f>1000*90</f>
        <v>90000</v>
      </c>
      <c r="F228" s="29">
        <f t="shared" si="4"/>
        <v>270000</v>
      </c>
      <c r="G228" s="236"/>
    </row>
    <row r="229" spans="1:7" x14ac:dyDescent="0.25">
      <c r="A229" s="100"/>
      <c r="B229" s="27" t="s">
        <v>864</v>
      </c>
      <c r="C229" s="101"/>
      <c r="D229" s="102"/>
      <c r="E229" s="102"/>
      <c r="F229" s="103">
        <f>SUM(F230:F238)</f>
        <v>219230</v>
      </c>
      <c r="G229" s="101"/>
    </row>
    <row r="230" spans="1:7" outlineLevel="1" x14ac:dyDescent="0.25">
      <c r="A230" s="38" t="s">
        <v>865</v>
      </c>
      <c r="B230" s="6" t="s">
        <v>866</v>
      </c>
      <c r="C230" s="20" t="s">
        <v>616</v>
      </c>
      <c r="D230" s="88">
        <v>24</v>
      </c>
      <c r="E230" s="83">
        <f>14700*0.2</f>
        <v>2940</v>
      </c>
      <c r="F230" s="29">
        <f t="shared" si="4"/>
        <v>70560</v>
      </c>
      <c r="G230" s="18"/>
    </row>
    <row r="231" spans="1:7" outlineLevel="1" x14ac:dyDescent="0.25">
      <c r="A231" s="38" t="s">
        <v>867</v>
      </c>
      <c r="B231" s="6" t="s">
        <v>868</v>
      </c>
      <c r="C231" s="20" t="s">
        <v>532</v>
      </c>
      <c r="D231" s="88">
        <v>20</v>
      </c>
      <c r="E231" s="83">
        <v>1000</v>
      </c>
      <c r="F231" s="29">
        <f t="shared" si="4"/>
        <v>20000</v>
      </c>
      <c r="G231" s="18"/>
    </row>
    <row r="232" spans="1:7" ht="26.4" outlineLevel="1" x14ac:dyDescent="0.25">
      <c r="A232" s="38" t="s">
        <v>869</v>
      </c>
      <c r="B232" s="6" t="s">
        <v>870</v>
      </c>
      <c r="C232" s="20" t="s">
        <v>616</v>
      </c>
      <c r="D232" s="88">
        <v>24</v>
      </c>
      <c r="E232" s="89">
        <v>1000</v>
      </c>
      <c r="F232" s="29">
        <f t="shared" si="4"/>
        <v>24000</v>
      </c>
      <c r="G232" s="18"/>
    </row>
    <row r="233" spans="1:7" outlineLevel="1" x14ac:dyDescent="0.25">
      <c r="A233" s="38" t="s">
        <v>871</v>
      </c>
      <c r="B233" s="6" t="s">
        <v>872</v>
      </c>
      <c r="C233" s="20" t="s">
        <v>616</v>
      </c>
      <c r="D233" s="88">
        <v>3</v>
      </c>
      <c r="E233" s="83">
        <v>2940</v>
      </c>
      <c r="F233" s="29">
        <f>D233*E233</f>
        <v>8820</v>
      </c>
      <c r="G233" s="18"/>
    </row>
    <row r="234" spans="1:7" outlineLevel="1" x14ac:dyDescent="0.25">
      <c r="A234" s="38" t="s">
        <v>873</v>
      </c>
      <c r="B234" s="6" t="s">
        <v>874</v>
      </c>
      <c r="C234" s="20" t="s">
        <v>616</v>
      </c>
      <c r="D234" s="88">
        <v>3</v>
      </c>
      <c r="E234" s="104">
        <v>4500</v>
      </c>
      <c r="F234" s="29">
        <f t="shared" si="4"/>
        <v>13500</v>
      </c>
      <c r="G234" s="23"/>
    </row>
    <row r="235" spans="1:7" outlineLevel="1" x14ac:dyDescent="0.25">
      <c r="A235" s="38" t="s">
        <v>875</v>
      </c>
      <c r="B235" s="6" t="s">
        <v>876</v>
      </c>
      <c r="C235" s="20" t="s">
        <v>616</v>
      </c>
      <c r="D235" s="88">
        <v>3</v>
      </c>
      <c r="E235" s="105">
        <v>1500</v>
      </c>
      <c r="F235" s="29">
        <f t="shared" si="4"/>
        <v>4500</v>
      </c>
      <c r="G235" s="24"/>
    </row>
    <row r="236" spans="1:7" outlineLevel="1" x14ac:dyDescent="0.25">
      <c r="A236" s="38" t="s">
        <v>877</v>
      </c>
      <c r="B236" s="6" t="s">
        <v>878</v>
      </c>
      <c r="C236" s="20" t="s">
        <v>616</v>
      </c>
      <c r="D236" s="88">
        <v>3</v>
      </c>
      <c r="E236" s="105">
        <v>750</v>
      </c>
      <c r="F236" s="29">
        <f t="shared" si="4"/>
        <v>2250</v>
      </c>
      <c r="G236" s="24"/>
    </row>
    <row r="237" spans="1:7" ht="26.4" outlineLevel="1" x14ac:dyDescent="0.25">
      <c r="A237" s="38" t="s">
        <v>879</v>
      </c>
      <c r="B237" s="6" t="s">
        <v>880</v>
      </c>
      <c r="C237" s="7" t="s">
        <v>616</v>
      </c>
      <c r="D237" s="128">
        <v>24</v>
      </c>
      <c r="E237" s="34">
        <v>3000</v>
      </c>
      <c r="F237" s="13">
        <f t="shared" si="4"/>
        <v>72000</v>
      </c>
      <c r="G237" s="24" t="s">
        <v>881</v>
      </c>
    </row>
    <row r="238" spans="1:7" outlineLevel="1" x14ac:dyDescent="0.25">
      <c r="A238" s="38" t="s">
        <v>882</v>
      </c>
      <c r="B238" s="6" t="s">
        <v>648</v>
      </c>
      <c r="C238" s="20" t="s">
        <v>616</v>
      </c>
      <c r="D238" s="88">
        <v>24</v>
      </c>
      <c r="E238" s="105">
        <v>150</v>
      </c>
      <c r="F238" s="29">
        <f t="shared" si="4"/>
        <v>3600</v>
      </c>
      <c r="G238" s="24"/>
    </row>
    <row r="239" spans="1:7" s="26" customFormat="1" ht="22.95" customHeight="1" x14ac:dyDescent="0.25">
      <c r="A239" s="6"/>
      <c r="B239" s="5" t="s">
        <v>883</v>
      </c>
      <c r="C239" s="6"/>
      <c r="D239" s="34"/>
      <c r="E239" s="74"/>
      <c r="F239" s="30">
        <f>F229+F220+F191+F124+F122</f>
        <v>18286059.733690228</v>
      </c>
      <c r="G239" s="6"/>
    </row>
    <row r="240" spans="1:7" x14ac:dyDescent="0.25">
      <c r="A240" s="15" t="s">
        <v>434</v>
      </c>
      <c r="B240" s="14" t="s">
        <v>435</v>
      </c>
      <c r="C240" s="70"/>
      <c r="D240" s="70"/>
      <c r="E240" s="79"/>
      <c r="F240" s="80"/>
      <c r="G240" s="70"/>
    </row>
    <row r="241" spans="1:7" x14ac:dyDescent="0.25">
      <c r="A241" s="7" t="s">
        <v>884</v>
      </c>
      <c r="B241" s="6" t="s">
        <v>885</v>
      </c>
      <c r="C241" s="7" t="s">
        <v>886</v>
      </c>
      <c r="D241" s="7">
        <v>25</v>
      </c>
      <c r="E241" s="106">
        <v>3500</v>
      </c>
      <c r="F241" s="31">
        <f t="shared" ref="F241:F242" si="7">D241*E241</f>
        <v>87500</v>
      </c>
      <c r="G241" s="6"/>
    </row>
    <row r="242" spans="1:7" x14ac:dyDescent="0.25">
      <c r="A242" s="7" t="s">
        <v>887</v>
      </c>
      <c r="B242" s="6" t="s">
        <v>888</v>
      </c>
      <c r="C242" s="7" t="s">
        <v>886</v>
      </c>
      <c r="D242" s="7">
        <v>12</v>
      </c>
      <c r="E242" s="107">
        <v>75000</v>
      </c>
      <c r="F242" s="31">
        <f t="shared" si="7"/>
        <v>900000</v>
      </c>
      <c r="G242" s="108"/>
    </row>
    <row r="243" spans="1:7" ht="13.8" x14ac:dyDescent="0.25">
      <c r="A243" s="7" t="s">
        <v>889</v>
      </c>
      <c r="B243" s="57" t="s">
        <v>890</v>
      </c>
      <c r="C243" s="48" t="s">
        <v>886</v>
      </c>
      <c r="D243" s="7">
        <v>12</v>
      </c>
      <c r="E243" s="49">
        <v>25000</v>
      </c>
      <c r="F243" s="50">
        <f>D243*E243</f>
        <v>300000</v>
      </c>
      <c r="G243" s="108"/>
    </row>
    <row r="244" spans="1:7" ht="22.95" customHeight="1" x14ac:dyDescent="0.25">
      <c r="A244" s="6"/>
      <c r="B244" s="5" t="s">
        <v>891</v>
      </c>
      <c r="C244" s="6"/>
      <c r="D244" s="6"/>
      <c r="E244" s="106"/>
      <c r="F244" s="78">
        <f>SUM(F241:F243)</f>
        <v>1287500</v>
      </c>
      <c r="G244" s="6"/>
    </row>
    <row r="245" spans="1:7" ht="22.95" customHeight="1" x14ac:dyDescent="0.25">
      <c r="A245" s="6"/>
      <c r="B245" s="5" t="s">
        <v>892</v>
      </c>
      <c r="C245" s="6"/>
      <c r="D245" s="6"/>
      <c r="E245" s="106"/>
      <c r="F245" s="30" t="e">
        <f>F244+F239+F120</f>
        <v>#VALUE!</v>
      </c>
      <c r="G245" s="6"/>
    </row>
    <row r="246" spans="1:7" x14ac:dyDescent="0.25">
      <c r="A246" s="15" t="s">
        <v>436</v>
      </c>
      <c r="B246" s="14" t="s">
        <v>437</v>
      </c>
      <c r="C246" s="70"/>
      <c r="D246" s="70"/>
      <c r="E246" s="79"/>
      <c r="F246" s="75"/>
      <c r="G246" s="70"/>
    </row>
    <row r="247" spans="1:7" x14ac:dyDescent="0.25">
      <c r="A247" s="7" t="s">
        <v>893</v>
      </c>
      <c r="B247" s="6" t="s">
        <v>894</v>
      </c>
      <c r="C247" s="7" t="s">
        <v>895</v>
      </c>
      <c r="D247" s="7">
        <f>25*15</f>
        <v>375</v>
      </c>
      <c r="E247" s="106">
        <v>1100</v>
      </c>
      <c r="F247" s="13">
        <f t="shared" ref="F247:F248" si="8">D247*E247</f>
        <v>412500</v>
      </c>
      <c r="G247" s="6"/>
    </row>
    <row r="248" spans="1:7" x14ac:dyDescent="0.25">
      <c r="A248" s="7" t="s">
        <v>896</v>
      </c>
      <c r="B248" s="6" t="s">
        <v>897</v>
      </c>
      <c r="C248" s="7" t="s">
        <v>898</v>
      </c>
      <c r="D248" s="7">
        <v>15</v>
      </c>
      <c r="E248" s="106">
        <v>2009</v>
      </c>
      <c r="F248" s="13">
        <f t="shared" si="8"/>
        <v>30135</v>
      </c>
      <c r="G248" s="6"/>
    </row>
    <row r="249" spans="1:7" x14ac:dyDescent="0.25">
      <c r="A249" s="6"/>
      <c r="B249" s="6" t="s">
        <v>899</v>
      </c>
      <c r="C249" s="109">
        <v>0.1</v>
      </c>
      <c r="D249" s="6"/>
      <c r="E249" s="106"/>
      <c r="F249" s="34" t="e">
        <f>F120*C249</f>
        <v>#VALUE!</v>
      </c>
      <c r="G249" s="6"/>
    </row>
    <row r="250" spans="1:7" x14ac:dyDescent="0.25">
      <c r="A250" s="6"/>
      <c r="B250" s="6" t="s">
        <v>900</v>
      </c>
      <c r="C250" s="109">
        <v>0.08</v>
      </c>
      <c r="D250" s="6"/>
      <c r="E250" s="106"/>
      <c r="F250" s="34" t="e">
        <f>(F120+F249)*C250</f>
        <v>#VALUE!</v>
      </c>
      <c r="G250" s="6"/>
    </row>
    <row r="251" spans="1:7" ht="22.95" customHeight="1" x14ac:dyDescent="0.25">
      <c r="A251" s="6"/>
      <c r="B251" s="5" t="s">
        <v>901</v>
      </c>
      <c r="C251" s="6"/>
      <c r="D251" s="6"/>
      <c r="E251" s="106"/>
      <c r="F251" s="32" t="e">
        <f>SUM(F245:F250)</f>
        <v>#VALUE!</v>
      </c>
      <c r="G251" s="6"/>
    </row>
    <row r="252" spans="1:7" x14ac:dyDescent="0.25">
      <c r="A252" s="15" t="s">
        <v>438</v>
      </c>
      <c r="B252" s="14" t="s">
        <v>439</v>
      </c>
      <c r="C252" s="70"/>
      <c r="D252" s="70"/>
      <c r="E252" s="79"/>
      <c r="F252" s="75"/>
      <c r="G252" s="70"/>
    </row>
    <row r="253" spans="1:7" x14ac:dyDescent="0.25">
      <c r="A253" s="7" t="s">
        <v>902</v>
      </c>
      <c r="B253" s="6" t="s">
        <v>903</v>
      </c>
      <c r="C253" s="110">
        <v>0.17249999999999999</v>
      </c>
      <c r="D253" s="6"/>
      <c r="E253" s="106"/>
      <c r="F253" s="34" t="e">
        <f>F120*C253</f>
        <v>#VALUE!</v>
      </c>
      <c r="G253" s="6"/>
    </row>
    <row r="254" spans="1:7" x14ac:dyDescent="0.25">
      <c r="A254" s="7" t="s">
        <v>904</v>
      </c>
      <c r="B254" s="6" t="s">
        <v>905</v>
      </c>
      <c r="C254" s="109">
        <v>0.12</v>
      </c>
      <c r="D254" s="6"/>
      <c r="E254" s="106"/>
      <c r="F254" s="34" t="e">
        <f>(F251+F253)*C254</f>
        <v>#VALUE!</v>
      </c>
      <c r="G254" s="6"/>
    </row>
    <row r="255" spans="1:7" x14ac:dyDescent="0.25">
      <c r="A255" s="7" t="s">
        <v>906</v>
      </c>
      <c r="B255" s="6" t="s">
        <v>907</v>
      </c>
      <c r="C255" s="109">
        <v>0.02</v>
      </c>
      <c r="D255" s="6"/>
      <c r="E255" s="106"/>
      <c r="F255" s="34" t="e">
        <f>(F251+F253)*C255</f>
        <v>#VALUE!</v>
      </c>
      <c r="G255" s="6"/>
    </row>
    <row r="256" spans="1:7" x14ac:dyDescent="0.25">
      <c r="A256" s="7" t="s">
        <v>908</v>
      </c>
      <c r="B256" s="6" t="s">
        <v>909</v>
      </c>
      <c r="C256" s="109">
        <v>0.04</v>
      </c>
      <c r="D256" s="6"/>
      <c r="E256" s="106"/>
      <c r="F256" s="34"/>
      <c r="G256" s="6"/>
    </row>
    <row r="257" spans="1:7" ht="22.95" customHeight="1" x14ac:dyDescent="0.25">
      <c r="A257" s="70"/>
      <c r="B257" s="14" t="s">
        <v>910</v>
      </c>
      <c r="C257" s="70"/>
      <c r="D257" s="70"/>
      <c r="E257" s="79"/>
      <c r="F257" s="35" t="e">
        <f>SUM(F251:F256)</f>
        <v>#VALUE!</v>
      </c>
      <c r="G257" s="70"/>
    </row>
    <row r="258" spans="1:7" x14ac:dyDescent="0.25">
      <c r="A258" s="6"/>
      <c r="B258" s="6" t="s">
        <v>911</v>
      </c>
      <c r="C258" s="109">
        <v>0.1</v>
      </c>
      <c r="D258" s="6"/>
      <c r="E258" s="106"/>
      <c r="F258" s="34" t="e">
        <f>F257*C258</f>
        <v>#VALUE!</v>
      </c>
      <c r="G258" s="6"/>
    </row>
    <row r="259" spans="1:7" ht="22.95" customHeight="1" x14ac:dyDescent="0.25">
      <c r="A259" s="70"/>
      <c r="B259" s="14" t="s">
        <v>912</v>
      </c>
      <c r="C259" s="70"/>
      <c r="D259" s="70"/>
      <c r="E259" s="79"/>
      <c r="F259" s="35" t="e">
        <f>SUM(F257:F258)</f>
        <v>#VALUE!</v>
      </c>
      <c r="G259" s="70"/>
    </row>
    <row r="260" spans="1:7" ht="5.4" customHeight="1" x14ac:dyDescent="0.25">
      <c r="A260" s="64"/>
      <c r="B260" s="64"/>
      <c r="C260" s="64"/>
      <c r="D260" s="64"/>
      <c r="E260" s="111"/>
      <c r="F260" s="64"/>
      <c r="G260" s="64"/>
    </row>
    <row r="261" spans="1:7" x14ac:dyDescent="0.25">
      <c r="A261" s="64"/>
      <c r="B261" s="64"/>
      <c r="C261" s="64"/>
      <c r="D261" s="64"/>
      <c r="E261" s="111"/>
      <c r="F261" s="64"/>
      <c r="G261" s="64"/>
    </row>
    <row r="262" spans="1:7" x14ac:dyDescent="0.25">
      <c r="A262" s="64"/>
      <c r="B262" s="237"/>
      <c r="C262" s="237"/>
      <c r="D262" s="237"/>
      <c r="E262" s="112"/>
      <c r="F262" s="113"/>
      <c r="G262" s="64"/>
    </row>
    <row r="263" spans="1:7" x14ac:dyDescent="0.25">
      <c r="A263" s="64"/>
      <c r="B263" s="114"/>
      <c r="C263" s="112"/>
      <c r="D263" s="115"/>
      <c r="E263" s="112"/>
      <c r="F263" s="116"/>
      <c r="G263" s="64"/>
    </row>
    <row r="264" spans="1:7" x14ac:dyDescent="0.25">
      <c r="A264" s="64"/>
      <c r="B264" s="117"/>
      <c r="C264" s="118"/>
      <c r="D264" s="119"/>
      <c r="E264" s="118"/>
      <c r="F264" s="118"/>
      <c r="G264" s="64"/>
    </row>
    <row r="265" spans="1:7" x14ac:dyDescent="0.25">
      <c r="A265" s="64"/>
      <c r="B265" s="120" t="s">
        <v>913</v>
      </c>
      <c r="C265" s="241" t="s">
        <v>914</v>
      </c>
      <c r="D265" s="241"/>
      <c r="E265" s="241" t="s">
        <v>915</v>
      </c>
      <c r="F265" s="241"/>
      <c r="G265" s="64"/>
    </row>
    <row r="266" spans="1:7" x14ac:dyDescent="0.25">
      <c r="A266" s="64"/>
      <c r="B266" s="64"/>
      <c r="C266" s="64"/>
      <c r="D266" s="64"/>
      <c r="E266" s="111"/>
      <c r="F266" s="64"/>
      <c r="G266" s="64"/>
    </row>
    <row r="267" spans="1:7" x14ac:dyDescent="0.25">
      <c r="A267" s="64"/>
      <c r="B267" s="64"/>
      <c r="C267" s="64"/>
      <c r="D267" s="64"/>
      <c r="E267" s="111"/>
      <c r="F267" s="64"/>
      <c r="G267" s="64"/>
    </row>
    <row r="269" spans="1:7" x14ac:dyDescent="0.25">
      <c r="A269" s="52"/>
      <c r="B269" s="52"/>
      <c r="C269" s="52"/>
      <c r="D269" s="52"/>
      <c r="E269" s="221"/>
      <c r="F269" s="222"/>
      <c r="G269" s="52"/>
    </row>
    <row r="270" spans="1:7" x14ac:dyDescent="0.25">
      <c r="A270" s="52"/>
      <c r="B270" s="52"/>
      <c r="C270" s="52"/>
      <c r="D270" s="52"/>
      <c r="E270" s="221"/>
      <c r="F270" s="53"/>
      <c r="G270" s="52"/>
    </row>
    <row r="271" spans="1:7" x14ac:dyDescent="0.25">
      <c r="A271" s="52"/>
      <c r="B271" s="52"/>
      <c r="C271" s="52"/>
      <c r="D271" s="52"/>
      <c r="E271" s="221"/>
      <c r="F271" s="53"/>
      <c r="G271" s="52"/>
    </row>
    <row r="272" spans="1:7" x14ac:dyDescent="0.25">
      <c r="A272" s="52"/>
      <c r="B272" s="52"/>
      <c r="C272" s="52"/>
      <c r="D272" s="52"/>
      <c r="E272" s="221"/>
      <c r="F272" s="54"/>
      <c r="G272" s="52"/>
    </row>
    <row r="273" spans="6:7" x14ac:dyDescent="0.25">
      <c r="F273" s="54"/>
      <c r="G273" s="52"/>
    </row>
    <row r="274" spans="6:7" ht="13.8" x14ac:dyDescent="0.25">
      <c r="F274" s="55"/>
      <c r="G274" s="56"/>
    </row>
  </sheetData>
  <mergeCells count="12">
    <mergeCell ref="A1:G1"/>
    <mergeCell ref="A7:C7"/>
    <mergeCell ref="B262:D262"/>
    <mergeCell ref="C265:D265"/>
    <mergeCell ref="E265:F265"/>
    <mergeCell ref="G103:G108"/>
    <mergeCell ref="G227:G228"/>
    <mergeCell ref="G109:G110"/>
    <mergeCell ref="G112:G120"/>
    <mergeCell ref="B122:E122"/>
    <mergeCell ref="B20:E20"/>
    <mergeCell ref="B111:E111"/>
  </mergeCells>
  <phoneticPr fontId="6" type="noConversion"/>
  <pageMargins left="0.7" right="0.7" top="0.75" bottom="0.75" header="0.3" footer="0.3"/>
  <pageSetup paperSize="9" scale="5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er_x0020_3 xmlns="3e9d89e2-8ca3-4d6d-b22b-8930f6c23bc2" xsi:nil="true"/>
    <lcf76f155ced4ddcb4097134ff3c332f xmlns="3e9d89e2-8ca3-4d6d-b22b-8930f6c23bc2">
      <Terms xmlns="http://schemas.microsoft.com/office/infopath/2007/PartnerControls"/>
    </lcf76f155ced4ddcb4097134ff3c332f>
    <TaxCatchAll xmlns="ca283e0b-db31-4043-a2ef-b80661bf084a" xsi:nil="true"/>
    <Reviewer2 xmlns="3e9d89e2-8ca3-4d6d-b22b-8930f6c23bc2">
      <UserInfo>
        <DisplayName/>
        <AccountId xsi:nil="true"/>
        <AccountType/>
      </UserInfo>
    </Reviewer2>
    <Reviewer3 xmlns="3e9d89e2-8ca3-4d6d-b22b-8930f6c23bc2">
      <UserInfo>
        <DisplayName/>
        <AccountId xsi:nil="true"/>
        <AccountType/>
      </UserInfo>
    </Reviewer3>
    <Section xmlns="3e9d89e2-8ca3-4d6d-b22b-8930f6c23bc2" xsi:nil="true"/>
    <Year xmlns="3e9d89e2-8ca3-4d6d-b22b-8930f6c23bc2" xsi:nil="true"/>
    <Reviewer1 xmlns="3e9d89e2-8ca3-4d6d-b22b-8930f6c23bc2">
      <UserInfo>
        <DisplayName/>
        <AccountId xsi:nil="true"/>
        <AccountType/>
      </UserInfo>
    </Reviewer1>
    <_Flow_SignoffStatus xmlns="3e9d89e2-8ca3-4d6d-b22b-8930f6c23bc2" xsi:nil="true"/>
    <Date xmlns="3e9d89e2-8ca3-4d6d-b22b-8930f6c23bc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40D641026C4C4880FEBE216FEEE4E0" ma:contentTypeVersion="990" ma:contentTypeDescription="Create a new document." ma:contentTypeScope="" ma:versionID="fa63860885994fdaed510fbf6d8ea8fb">
  <xsd:schema xmlns:xsd="http://www.w3.org/2001/XMLSchema" xmlns:xs="http://www.w3.org/2001/XMLSchema" xmlns:p="http://schemas.microsoft.com/office/2006/metadata/properties" xmlns:ns2="d7c44c6c-2b13-410a-b5f5-7e87dfb6f57a" xmlns:ns3="3e9d89e2-8ca3-4d6d-b22b-8930f6c23bc2" xmlns:ns4="ca283e0b-db31-4043-a2ef-b80661bf084a" targetNamespace="http://schemas.microsoft.com/office/2006/metadata/properties" ma:root="true" ma:fieldsID="f07dc2a6749fb0f39719d5064dcea14b" ns2:_="" ns3:_="" ns4:_="">
    <xsd:import namespace="d7c44c6c-2b13-410a-b5f5-7e87dfb6f57a"/>
    <xsd:import namespace="3e9d89e2-8ca3-4d6d-b22b-8930f6c23bc2"/>
    <xsd:import namespace="ca283e0b-db31-4043-a2ef-b80661bf084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Date" minOccurs="0"/>
                <xsd:element ref="ns3:Reviewer1" minOccurs="0"/>
                <xsd:element ref="ns3:Reviewer2" minOccurs="0"/>
                <xsd:element ref="ns3:Reviewer3" minOccurs="0"/>
                <xsd:element ref="ns3:Section" minOccurs="0"/>
                <xsd:element ref="ns3:Year" minOccurs="0"/>
                <xsd:element ref="ns3:_Flow_SignoffStatu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Reviewer_x0020_3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44c6c-2b13-410a-b5f5-7e87dfb6f57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d89e2-8ca3-4d6d-b22b-8930f6c23b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Date" ma:index="23" nillable="true" ma:displayName="Date" ma:format="DateOnly" ma:internalName="Date">
      <xsd:simpleType>
        <xsd:restriction base="dms:DateTime"/>
      </xsd:simpleType>
    </xsd:element>
    <xsd:element name="Reviewer1" ma:index="24" nillable="true" ma:displayName="Reviewer 1" ma:format="Dropdown" ma:list="UserInfo" ma:SharePointGroup="0" ma:internalName="Reviewer1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er2" ma:index="25" nillable="true" ma:displayName="Reviewer 2" ma:format="Dropdown" ma:list="UserInfo" ma:SharePointGroup="0" ma:internalName="Reviewer2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er3" ma:index="26" nillable="true" ma:displayName="Approver" ma:format="Dropdown" ma:list="UserInfo" ma:SharePointGroup="0" ma:internalName="Reviewer3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ection" ma:index="27" nillable="true" ma:displayName="Section" ma:format="Dropdown" ma:internalName="Section">
      <xsd:simpleType>
        <xsd:restriction base="dms:Choice">
          <xsd:enumeration value="CRM and PME"/>
          <xsd:enumeration value="Gender"/>
          <xsd:enumeration value="Youth &amp; Adolesc"/>
          <xsd:enumeration value="Health &amp; Nutr"/>
          <xsd:enumeration value="Communication"/>
          <xsd:enumeration value="Child Protectn"/>
          <xsd:enumeration value="Soc. Policy"/>
          <xsd:enumeration value="Operations"/>
          <xsd:enumeration value="DRR and CCA"/>
          <xsd:enumeration value="Education &amp; ECD"/>
        </xsd:restriction>
      </xsd:simpleType>
    </xsd:element>
    <xsd:element name="Year" ma:index="28" nillable="true" ma:displayName="Year" ma:format="Dropdown" ma:internalName="Year">
      <xsd:simpleType>
        <xsd:restriction base="dms:Choice">
          <xsd:enumeration value="2021"/>
          <xsd:enumeration value="2022"/>
          <xsd:enumeration value="2023"/>
          <xsd:enumeration value="2020"/>
        </xsd:restriction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73f51738-d318-4883-9d64-4f0bd0ccc5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viewer_x0020_3" ma:index="35" nillable="true" ma:displayName="Reviewer 3" ma:description="Reviewer 3" ma:internalName="Reviewer_x0020_3">
      <xsd:simpleType>
        <xsd:restriction base="dms:Text">
          <xsd:maxLength value="255"/>
        </xsd:restriction>
      </xsd:simpleType>
    </xsd:element>
    <xsd:element name="MediaServiceBillingMetadata" ma:index="3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82250e81-7459-4da1-bb20-1efbbe8988a9}" ma:internalName="TaxCatchAll" ma:showField="CatchAllData" ma:web="d7c44c6c-2b13-410a-b5f5-7e87dfb6f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D36B6-7F73-463C-B65D-0E31627D2FB8}">
  <ds:schemaRefs>
    <ds:schemaRef ds:uri="http://schemas.microsoft.com/office/2006/metadata/properties"/>
    <ds:schemaRef ds:uri="http://schemas.microsoft.com/office/infopath/2007/PartnerControls"/>
    <ds:schemaRef ds:uri="3e9d89e2-8ca3-4d6d-b22b-8930f6c23bc2"/>
    <ds:schemaRef ds:uri="ca283e0b-db31-4043-a2ef-b80661bf084a"/>
  </ds:schemaRefs>
</ds:datastoreItem>
</file>

<file path=customXml/itemProps2.xml><?xml version="1.0" encoding="utf-8"?>
<ds:datastoreItem xmlns:ds="http://schemas.openxmlformats.org/officeDocument/2006/customXml" ds:itemID="{835E7624-FBA5-4D26-A6F6-E343E23BF0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3A1FB0-1848-4E74-BA61-CA2980FD6B8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E5A72E8-0550-4C15-ABE3-72DBD24CA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44c6c-2b13-410a-b5f5-7e87dfb6f57a"/>
    <ds:schemaRef ds:uri="3e9d89e2-8ca3-4d6d-b22b-8930f6c23bc2"/>
    <ds:schemaRef ds:uri="ca283e0b-db31-4043-a2ef-b80661bf08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Расчет (2)</vt:lpstr>
      <vt:lpstr>Участник_2_А_замеч-я</vt:lpstr>
      <vt:lpstr>Участник_2_А</vt:lpstr>
      <vt:lpstr>'Расчет (2)'!Print_Area</vt:lpstr>
      <vt:lpstr>'Расчет (2)'!Print_Titles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˚  ˜˜_@5&lt; &gt;1I_ ˙˚ˆ  .xlsx</dc:title>
  <dc:subject/>
  <dc:creator>nurdinov.uzh</dc:creator>
  <cp:keywords/>
  <dc:description/>
  <cp:lastModifiedBy>Kostiantyn Khudobin</cp:lastModifiedBy>
  <cp:revision/>
  <dcterms:created xsi:type="dcterms:W3CDTF">2024-06-03T09:00:24Z</dcterms:created>
  <dcterms:modified xsi:type="dcterms:W3CDTF">2025-05-14T05:16:34Z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2024-05-28T00:00:00Z</vt:filetime>
  </property>
  <property fmtid="{D5CDD505-2E9C-101B-9397-08002B2CF9AE}" pid="3" name="LastSaved">
    <vt:filetime>2024-06-03T00:00:00Z</vt:filetime>
  </property>
  <property fmtid="{D5CDD505-2E9C-101B-9397-08002B2CF9AE}" pid="4" name="Producer">
    <vt:lpwstr>Microsoft: Print To PDF</vt:lpwstr>
  </property>
  <property fmtid="{D5CDD505-2E9C-101B-9397-08002B2CF9AE}" pid="5" name="ContentTypeId">
    <vt:lpwstr>0x010100EF40D641026C4C4880FEBE216FEEE4E0</vt:lpwstr>
  </property>
  <property fmtid="{D5CDD505-2E9C-101B-9397-08002B2CF9AE}" pid="6" name="MediaServiceImageTags">
    <vt:lpwstr/>
  </property>
</Properties>
</file>